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смета2006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<sst xmlns="http://schemas.openxmlformats.org/spreadsheetml/2006/main" count="216" uniqueCount="177">
  <si>
    <t>СМЕТА</t>
  </si>
  <si>
    <t>Sтсж</t>
  </si>
  <si>
    <t xml:space="preserve">эксплуатационных доходов и расходов ТСЖ "Невская Звезда" </t>
  </si>
  <si>
    <t>S1этаж корусаБ</t>
  </si>
  <si>
    <t>S(Б-1этаж)</t>
  </si>
  <si>
    <t>S(А+В-1этаж)</t>
  </si>
  <si>
    <t>Sкорпус Б</t>
  </si>
  <si>
    <t>№ п/п</t>
  </si>
  <si>
    <t>Наименование статей расходов и доходов</t>
  </si>
  <si>
    <t>ТСЖ</t>
  </si>
  <si>
    <t>Город</t>
  </si>
  <si>
    <t>Доходы</t>
  </si>
  <si>
    <t>Расходы</t>
  </si>
  <si>
    <t>1.</t>
  </si>
  <si>
    <t>Оплата членами ТСЖ за жилье и эксплуатационные услуги:</t>
  </si>
  <si>
    <t>ЗАО "Вольт", дог.№ 66 от 17.10.01- обсл. эл.хоз-ва дома</t>
  </si>
  <si>
    <t>- обслуживание и ремонт инженерного оборудования дома, строительных конструкций</t>
  </si>
  <si>
    <t>АО "Ленэнерго", дог.№9364 от 26.04.02- коммунальная электроэнергия</t>
  </si>
  <si>
    <t>ГУ "ЖА Моковского р-на"- аварийное обслуживание</t>
  </si>
  <si>
    <t>АП "Станция профилактической дезинфекции", дог.№976 от 10.03.03</t>
  </si>
  <si>
    <t>Замена в отпуске сантехников</t>
  </si>
  <si>
    <t>Расходные материалы</t>
  </si>
  <si>
    <t xml:space="preserve">Текущий ремонт </t>
  </si>
  <si>
    <t>Модернизация</t>
  </si>
  <si>
    <t xml:space="preserve">- содержание придомовой территории </t>
  </si>
  <si>
    <t>- уборка лестничных клеток</t>
  </si>
  <si>
    <t>1,02*Sтсж</t>
  </si>
  <si>
    <t>- очистка мусоропровода</t>
  </si>
  <si>
    <t>Замена в отпуске дворников</t>
  </si>
  <si>
    <t>- обслуживание и ремонт лифтового оборудования корпуса А и В</t>
  </si>
  <si>
    <t>ООО "СМУ-Лифт" - обсл. Лифтов</t>
  </si>
  <si>
    <t>- обслуживание и ремонт лифтового оборудования корпус Б</t>
  </si>
  <si>
    <t>ООО "АТС"-обсл. системы ОДС</t>
  </si>
  <si>
    <t>Затраты по обсл. Лифта</t>
  </si>
  <si>
    <t>- обслуживание ПЗУ</t>
  </si>
  <si>
    <t>ООО"Стройтелеприем", - обсл. ПЗУ</t>
  </si>
  <si>
    <t>- обслуживание АППЗ</t>
  </si>
  <si>
    <t>ЗАО "Фирма СТИКС", дог.№01-445т от 22.11.02-обсл. системы АППЗ</t>
  </si>
  <si>
    <t>2.</t>
  </si>
  <si>
    <t>Оплата вывоза мусора</t>
  </si>
  <si>
    <t>ОАО "Автопарк №1 Спецтранс", дог.№11587- вывоз мусора</t>
  </si>
  <si>
    <t>3.</t>
  </si>
  <si>
    <t>Членские взносы на покрытие АХР</t>
  </si>
  <si>
    <t>2,18*Sтсж</t>
  </si>
  <si>
    <t>Аренда</t>
  </si>
  <si>
    <t>Обслуживание р/с</t>
  </si>
  <si>
    <t>Телефон</t>
  </si>
  <si>
    <t>Канц.товары</t>
  </si>
  <si>
    <t xml:space="preserve">Ассоциация ТСЖ </t>
  </si>
  <si>
    <t>АХР - прочие расходы</t>
  </si>
  <si>
    <t>4.</t>
  </si>
  <si>
    <t>Членские взносы на диспетчеров</t>
  </si>
  <si>
    <t>64,57*356кв.</t>
  </si>
  <si>
    <t>Замена в отпуске диспетчеров</t>
  </si>
  <si>
    <t>5.</t>
  </si>
  <si>
    <t>Членские взносы на оплату % за перевод коммунальных платежей</t>
  </si>
  <si>
    <t>% за перевод денег</t>
  </si>
  <si>
    <t>ТВ</t>
  </si>
  <si>
    <t>ООО "Стройтелеприем"</t>
  </si>
  <si>
    <t>Радио</t>
  </si>
  <si>
    <t>РТУ</t>
  </si>
  <si>
    <t>Бюджетные субсидии на работы и услуги по содержанию и ремонту жилищного фонда</t>
  </si>
  <si>
    <t xml:space="preserve">Отопление </t>
  </si>
  <si>
    <t>Горячая вода</t>
  </si>
  <si>
    <t>Холодная вода</t>
  </si>
  <si>
    <t>Всего доходов</t>
  </si>
  <si>
    <t>Текущий ремонт</t>
  </si>
  <si>
    <t>на 2006 год</t>
  </si>
  <si>
    <t>0,69*Sтсж-1этажБ</t>
  </si>
  <si>
    <t>1,07*S(А+В-1этаж)</t>
  </si>
  <si>
    <t>1,31*S(Б-1 этаж)</t>
  </si>
  <si>
    <t>0,38*Sтсж</t>
  </si>
  <si>
    <t>0,31*Sкорпуса Б</t>
  </si>
  <si>
    <t>22,80*чел.</t>
  </si>
  <si>
    <t>3%</t>
  </si>
  <si>
    <t>36*339кв.</t>
  </si>
  <si>
    <t>18*303кв.</t>
  </si>
  <si>
    <t>8,36*Sтсж</t>
  </si>
  <si>
    <t>Охрана</t>
  </si>
  <si>
    <t>ОВО</t>
  </si>
  <si>
    <t>21,32*356кв</t>
  </si>
  <si>
    <t>ООО "Семта", дог. №1-11-05 от 01.11.05 - обсл. узла учета</t>
  </si>
  <si>
    <t>ЗАО "СИНТО" дог.№051205-СО -сервисное обсл. ХВС</t>
  </si>
  <si>
    <t>МВ-офисная техника</t>
  </si>
  <si>
    <t>S город</t>
  </si>
  <si>
    <t>S город/лифт</t>
  </si>
  <si>
    <t>Инженер (оклад +налоги)</t>
  </si>
  <si>
    <t>Сантехник (оклад + налоги)</t>
  </si>
  <si>
    <t>Дворник (оклад + налоги)</t>
  </si>
  <si>
    <t>Зарплата управляющего (оклад + налоги)</t>
  </si>
  <si>
    <t>Зарплата бухгалтера (оклад + налоги)</t>
  </si>
  <si>
    <t>Диспетчеры (оклад + налоги)</t>
  </si>
  <si>
    <t xml:space="preserve">Остаток средств прошлых  лет </t>
  </si>
  <si>
    <t>Вознаграждение Председателю</t>
  </si>
  <si>
    <t>2,70/2,86*Sтсж.</t>
  </si>
  <si>
    <t>1,84/3,6*Sтсж</t>
  </si>
  <si>
    <t>1,071,13*Sтсж</t>
  </si>
  <si>
    <t>ГУП "Водоканал СПб"</t>
  </si>
  <si>
    <t>ОАО "ТГК-1"</t>
  </si>
  <si>
    <t>Пени</t>
  </si>
  <si>
    <t>ОАО Петербургская сбытовая компания- коммунальная электроэнергия</t>
  </si>
  <si>
    <t>Вознаграждение Председателя+ налоги</t>
  </si>
  <si>
    <t>- обслуживание и ремонт лифтового оборудования  корп. А и В</t>
  </si>
  <si>
    <t>- обслуживание и ремонт лифтового оборудования корп. Б</t>
  </si>
  <si>
    <t>ООО "Эльтон-Систем"-обсл. системы АППЗ</t>
  </si>
  <si>
    <t>Коммерческая деятельность</t>
  </si>
  <si>
    <t>Налоги по ком.деятельности</t>
  </si>
  <si>
    <t>Прочие расходы</t>
  </si>
  <si>
    <t>- содержание общего имущества</t>
  </si>
  <si>
    <t>- эксплуатация приборов учета</t>
  </si>
  <si>
    <t>ООО "Энергомонтаж",дог. №6879 от 01.01.12 -обсл. УУ</t>
  </si>
  <si>
    <t>АП "Станция профилактической дезинфекции", дог.№976 от 02.11.09.</t>
  </si>
  <si>
    <t>ИСПОЛНЕНИЕ СМЕТЫ</t>
  </si>
  <si>
    <t>Содержание парковки</t>
  </si>
  <si>
    <t>- текущий ремонт</t>
  </si>
  <si>
    <t>руб./м2</t>
  </si>
  <si>
    <t>руб./кв.</t>
  </si>
  <si>
    <t>руб./автом.</t>
  </si>
  <si>
    <t>Членские взносы на оплату % за перевод  платежей</t>
  </si>
  <si>
    <t>руб./Гкал</t>
  </si>
  <si>
    <t>руб./м3</t>
  </si>
  <si>
    <t>Резервный фонд</t>
  </si>
  <si>
    <t>РЕСО - страхование</t>
  </si>
  <si>
    <t>руб./кВт</t>
  </si>
  <si>
    <t>Наименование статей  доходов и расходов</t>
  </si>
  <si>
    <t>Холодная вода и водоотведение горячей воды</t>
  </si>
  <si>
    <t>Тариф</t>
  </si>
  <si>
    <t>Всего расходов</t>
  </si>
  <si>
    <t>Зарплата персонала</t>
  </si>
  <si>
    <t>Взносы в фонды (ПФ, ФОМС, СС) 30,2%</t>
  </si>
  <si>
    <t>Материалы и расходные материалы</t>
  </si>
  <si>
    <t>Бухгалтерские программы, почтовые расходы, обсл.оргтехники и т.п.</t>
  </si>
  <si>
    <t>Брелки</t>
  </si>
  <si>
    <t>руб./шт.</t>
  </si>
  <si>
    <t>- капитальный ремонт</t>
  </si>
  <si>
    <t>ООО "Стройтелеприем" - ТВ</t>
  </si>
  <si>
    <t>ООО "ЮрАспект" - услуги юриста</t>
  </si>
  <si>
    <t>ООО "Эльтон"-обсл. ОДС, шлагбаумов</t>
  </si>
  <si>
    <t>Электроэнергия</t>
  </si>
  <si>
    <t>0,53/0,34</t>
  </si>
  <si>
    <t>ООО "Вольт-Электро", дог.№ 18 от 01.01.15- обсл. эл.хоз-ва дома</t>
  </si>
  <si>
    <t>ООО "РСК-Сервис - обсл. лифтов</t>
  </si>
  <si>
    <t xml:space="preserve">на 2016 год </t>
  </si>
  <si>
    <t>Остаток на 01.01.2016</t>
  </si>
  <si>
    <t>Начислено за 2016г.</t>
  </si>
  <si>
    <t>Остаток на 31.12.2016</t>
  </si>
  <si>
    <t>9,59/10,39</t>
  </si>
  <si>
    <t>1,57/1,67</t>
  </si>
  <si>
    <t>1,46/1,54</t>
  </si>
  <si>
    <t>23,13/25,44</t>
  </si>
  <si>
    <t>92,51/97,32</t>
  </si>
  <si>
    <t>2,18/2,29</t>
  </si>
  <si>
    <t>2,74/3,00(1,61/1,73)</t>
  </si>
  <si>
    <t>59,30/63,45</t>
  </si>
  <si>
    <t>1,41/1,52</t>
  </si>
  <si>
    <t>1,26/1,36</t>
  </si>
  <si>
    <t>0,59/0,62</t>
  </si>
  <si>
    <t>1541,78/1621,95</t>
  </si>
  <si>
    <t>Двери</t>
  </si>
  <si>
    <t>Пандусы</t>
  </si>
  <si>
    <t>Возмещение ущерба кв.25</t>
  </si>
  <si>
    <t>КПЛ</t>
  </si>
  <si>
    <t>ООО "Стройгрупп"  - герметизация швов</t>
  </si>
  <si>
    <t>Ливневая канализация, отмостки, реконструкция канализации</t>
  </si>
  <si>
    <t>ООО "Мой аудит" - аудит</t>
  </si>
  <si>
    <t>Корректировка</t>
  </si>
  <si>
    <t>Договор подряда - налоги</t>
  </si>
  <si>
    <t>Благоустройство (озеленение) договора подряда</t>
  </si>
  <si>
    <t>Договора подряда (текущий ремонт, обслуживание)</t>
  </si>
  <si>
    <t>Новогодний праздник - договор подряда</t>
  </si>
  <si>
    <t xml:space="preserve">Дезинсекция и противогрибковая обработка подвала - договора подряда </t>
  </si>
  <si>
    <t>Выборочный ежегодный ремонт кровли - договора подряда</t>
  </si>
  <si>
    <t>Прочистка наружной канализации - договора подряда</t>
  </si>
  <si>
    <t>Аварийный ремонт системы ГВС - договора подряда</t>
  </si>
  <si>
    <t>Аварийный ремонт системы ХВС - договора подряда</t>
  </si>
  <si>
    <t>Модернизация циркуляц. насоса системы ЦО - договора подряда</t>
  </si>
  <si>
    <t>Системный администратор - договора подряда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</si>
</sst>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2"/>
    </font>
    <font>
      <b/>
      <sz val="14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11" fillId="0" borderId="12" xfId="0" applyFont="1" applyBorder="1" applyAlignment="1">
      <alignment horizontal="center" vertical="center"/>
    </xf>
    <xf numFmtId="2" fontId="0" fillId="0" borderId="15" xfId="0" applyNumberFormat="1" applyBorder="1" applyAlignment="1">
      <alignment wrapText="1"/>
    </xf>
    <xf numFmtId="4" fontId="8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0" fillId="0" borderId="10" xfId="0" applyNumberFormat="1" applyBorder="1" applyAlignment="1">
      <alignment horizontal="left" wrapText="1"/>
    </xf>
    <xf numFmtId="49" fontId="0" fillId="32" borderId="10" xfId="0" applyNumberFormat="1" applyFill="1" applyBorder="1" applyAlignment="1">
      <alignment wrapText="1"/>
    </xf>
    <xf numFmtId="0" fontId="0" fillId="32" borderId="0" xfId="0" applyFill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32" borderId="11" xfId="0" applyNumberForma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right"/>
    </xf>
    <xf numFmtId="4" fontId="0" fillId="32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4" fontId="0" fillId="32" borderId="1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4" fontId="8" fillId="0" borderId="16" xfId="0" applyNumberFormat="1" applyFont="1" applyBorder="1" applyAlignment="1">
      <alignment vertical="top"/>
    </xf>
    <xf numFmtId="49" fontId="0" fillId="0" borderId="10" xfId="0" applyNumberFormat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2" fontId="6" fillId="0" borderId="11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4" fontId="0" fillId="32" borderId="11" xfId="0" applyNumberFormat="1" applyFill="1" applyBorder="1" applyAlignment="1">
      <alignment vertical="center"/>
    </xf>
    <xf numFmtId="0" fontId="0" fillId="32" borderId="12" xfId="0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zoomScale="75" zoomScaleNormal="75" zoomScalePageLayoutView="0" workbookViewId="0" topLeftCell="K47">
      <selection activeCell="O31" sqref="O31"/>
    </sheetView>
  </sheetViews>
  <sheetFormatPr defaultColWidth="9.00390625" defaultRowHeight="12.75"/>
  <cols>
    <col min="1" max="1" width="5.875" style="0" customWidth="1"/>
    <col min="2" max="6" width="10.75390625" style="0" customWidth="1"/>
    <col min="7" max="7" width="6.75390625" style="0" customWidth="1"/>
    <col min="8" max="8" width="3.625" style="0" customWidth="1"/>
    <col min="9" max="9" width="1.875" style="0" customWidth="1"/>
    <col min="10" max="10" width="16.375" style="0" customWidth="1"/>
    <col min="11" max="11" width="12.125" style="0" bestFit="1" customWidth="1"/>
    <col min="12" max="12" width="11.875" style="0" customWidth="1"/>
    <col min="13" max="13" width="12.125" style="0" bestFit="1" customWidth="1"/>
    <col min="14" max="14" width="49.625" style="0" customWidth="1"/>
    <col min="15" max="15" width="11.625" style="0" customWidth="1"/>
    <col min="16" max="16" width="14.625" style="0" customWidth="1"/>
    <col min="17" max="17" width="13.875" style="0" bestFit="1" customWidth="1"/>
    <col min="18" max="23" width="11.625" style="0" bestFit="1" customWidth="1"/>
    <col min="24" max="24" width="13.125" style="0" customWidth="1"/>
  </cols>
  <sheetData>
    <row r="1" spans="1:18" ht="18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" t="s">
        <v>1</v>
      </c>
      <c r="R1" s="2">
        <v>21702.1</v>
      </c>
    </row>
    <row r="2" spans="1:18" ht="15.7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4" t="s">
        <v>3</v>
      </c>
      <c r="R2">
        <v>314.8</v>
      </c>
    </row>
    <row r="3" spans="1:18" ht="17.25" customHeight="1">
      <c r="A3" s="103" t="s">
        <v>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5" t="s">
        <v>4</v>
      </c>
      <c r="R3">
        <v>13492.9</v>
      </c>
    </row>
    <row r="4" spans="1:18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5</v>
      </c>
      <c r="R4">
        <v>7151.2</v>
      </c>
    </row>
    <row r="5" spans="1:18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6" t="s">
        <v>6</v>
      </c>
      <c r="R5">
        <v>13381.1</v>
      </c>
    </row>
    <row r="6" spans="1:18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6" t="s">
        <v>84</v>
      </c>
      <c r="R6">
        <v>604.6</v>
      </c>
    </row>
    <row r="7" spans="17:18" ht="12.75">
      <c r="Q7" s="6" t="s">
        <v>85</v>
      </c>
      <c r="R7">
        <v>225.7</v>
      </c>
    </row>
    <row r="8" spans="1:16" ht="20.25" customHeight="1">
      <c r="A8" s="7" t="s">
        <v>7</v>
      </c>
      <c r="B8" s="107" t="s">
        <v>8</v>
      </c>
      <c r="C8" s="108"/>
      <c r="D8" s="108"/>
      <c r="E8" s="108"/>
      <c r="F8" s="108"/>
      <c r="G8" s="108"/>
      <c r="H8" s="108"/>
      <c r="I8" s="109"/>
      <c r="J8" s="7"/>
      <c r="K8" s="8" t="s">
        <v>9</v>
      </c>
      <c r="L8" s="8" t="s">
        <v>10</v>
      </c>
      <c r="M8" s="7"/>
      <c r="N8" s="7"/>
      <c r="O8" s="7"/>
      <c r="P8" s="9"/>
    </row>
    <row r="9" spans="1:16" ht="15.75">
      <c r="A9" s="10"/>
      <c r="B9" s="104" t="s">
        <v>11</v>
      </c>
      <c r="C9" s="105"/>
      <c r="D9" s="105"/>
      <c r="E9" s="105"/>
      <c r="F9" s="105"/>
      <c r="G9" s="105"/>
      <c r="H9" s="105"/>
      <c r="I9" s="106"/>
      <c r="J9" s="11"/>
      <c r="K9" s="11"/>
      <c r="L9" s="10"/>
      <c r="M9" s="10"/>
      <c r="N9" s="12" t="s">
        <v>12</v>
      </c>
      <c r="O9" s="10"/>
      <c r="P9" s="10"/>
    </row>
    <row r="10" spans="1:17" ht="25.5">
      <c r="A10" s="13" t="s">
        <v>13</v>
      </c>
      <c r="B10" s="122" t="s">
        <v>14</v>
      </c>
      <c r="C10" s="122"/>
      <c r="D10" s="122"/>
      <c r="E10" s="122"/>
      <c r="F10" s="122"/>
      <c r="G10" s="122"/>
      <c r="H10" s="122"/>
      <c r="I10" s="122"/>
      <c r="J10" s="14"/>
      <c r="K10" s="14"/>
      <c r="L10" s="9"/>
      <c r="M10" s="115">
        <f>K11+L11+K23+L23</f>
        <v>1472242.2</v>
      </c>
      <c r="N10" s="16" t="s">
        <v>15</v>
      </c>
      <c r="O10" s="17">
        <f>12*10300</f>
        <v>123600</v>
      </c>
      <c r="P10" s="115">
        <f>SUM(O10:O24)</f>
        <v>1575473.5999999999</v>
      </c>
      <c r="Q10" s="111">
        <f>M10-P10</f>
        <v>-103231.3999999999</v>
      </c>
    </row>
    <row r="11" spans="1:24" ht="25.5" customHeight="1">
      <c r="A11" s="13"/>
      <c r="B11" s="100" t="s">
        <v>16</v>
      </c>
      <c r="C11" s="100"/>
      <c r="D11" s="100"/>
      <c r="E11" s="100"/>
      <c r="F11" s="100"/>
      <c r="G11" s="100"/>
      <c r="H11" s="100"/>
      <c r="I11" s="100"/>
      <c r="J11" s="18" t="s">
        <v>94</v>
      </c>
      <c r="K11" s="18">
        <f>6*2.7*$R$1+6*2.86*R1</f>
        <v>723982.056</v>
      </c>
      <c r="L11" s="17">
        <f>6*2.7*R6+6*2.86*R6</f>
        <v>20169.456000000002</v>
      </c>
      <c r="M11" s="113"/>
      <c r="N11" s="16" t="s">
        <v>81</v>
      </c>
      <c r="O11" s="17">
        <f>12*13800</f>
        <v>165600</v>
      </c>
      <c r="P11" s="113"/>
      <c r="Q11" s="112"/>
      <c r="R11" s="19"/>
      <c r="S11" s="19"/>
      <c r="T11" s="19"/>
      <c r="U11" s="19"/>
      <c r="V11" s="110"/>
      <c r="W11" s="110"/>
      <c r="X11" s="20"/>
    </row>
    <row r="12" spans="1:24" ht="25.5" customHeight="1">
      <c r="A12" s="13"/>
      <c r="B12" s="100"/>
      <c r="C12" s="100"/>
      <c r="D12" s="100"/>
      <c r="E12" s="100"/>
      <c r="F12" s="100"/>
      <c r="G12" s="100"/>
      <c r="H12" s="100"/>
      <c r="I12" s="100"/>
      <c r="J12" s="18"/>
      <c r="K12" s="18"/>
      <c r="L12" s="17"/>
      <c r="M12" s="113"/>
      <c r="N12" s="16" t="s">
        <v>17</v>
      </c>
      <c r="O12" s="21">
        <v>200727</v>
      </c>
      <c r="P12" s="113"/>
      <c r="Q12" s="112"/>
      <c r="R12" s="19"/>
      <c r="S12" s="19"/>
      <c r="T12" s="19"/>
      <c r="U12" s="19"/>
      <c r="V12" s="110"/>
      <c r="W12" s="110"/>
      <c r="X12" s="20"/>
    </row>
    <row r="13" spans="1:24" ht="25.5" customHeight="1">
      <c r="A13" s="13"/>
      <c r="B13" s="100"/>
      <c r="C13" s="100"/>
      <c r="D13" s="100"/>
      <c r="E13" s="100"/>
      <c r="F13" s="100"/>
      <c r="G13" s="100"/>
      <c r="H13" s="100"/>
      <c r="I13" s="100"/>
      <c r="J13" s="18"/>
      <c r="K13" s="18"/>
      <c r="L13" s="17"/>
      <c r="M13" s="113"/>
      <c r="N13" s="16" t="s">
        <v>18</v>
      </c>
      <c r="O13" s="17">
        <f>12*15753.5</f>
        <v>189042</v>
      </c>
      <c r="P13" s="113"/>
      <c r="Q13" s="112"/>
      <c r="R13" s="19"/>
      <c r="S13" s="19"/>
      <c r="T13" s="19"/>
      <c r="U13" s="19"/>
      <c r="V13" s="22"/>
      <c r="W13" s="22"/>
      <c r="X13" s="22"/>
    </row>
    <row r="14" spans="1:24" ht="27.75" customHeight="1">
      <c r="A14" s="13"/>
      <c r="B14" s="100"/>
      <c r="C14" s="100"/>
      <c r="D14" s="100"/>
      <c r="E14" s="100"/>
      <c r="F14" s="100"/>
      <c r="G14" s="100"/>
      <c r="H14" s="100"/>
      <c r="I14" s="100"/>
      <c r="J14" s="18"/>
      <c r="K14" s="18"/>
      <c r="L14" s="17"/>
      <c r="M14" s="113"/>
      <c r="N14" s="16" t="s">
        <v>19</v>
      </c>
      <c r="O14" s="21">
        <f>13570</f>
        <v>13570</v>
      </c>
      <c r="P14" s="113"/>
      <c r="Q14" s="112"/>
      <c r="R14" s="19"/>
      <c r="S14" s="19"/>
      <c r="T14" s="19"/>
      <c r="U14" s="19"/>
      <c r="V14" s="22"/>
      <c r="W14" s="22"/>
      <c r="X14" s="22"/>
    </row>
    <row r="15" spans="1:24" ht="20.25" customHeight="1">
      <c r="A15" s="13"/>
      <c r="B15" s="100"/>
      <c r="C15" s="100"/>
      <c r="D15" s="100"/>
      <c r="E15" s="100"/>
      <c r="F15" s="100"/>
      <c r="G15" s="100"/>
      <c r="H15" s="100"/>
      <c r="I15" s="100"/>
      <c r="J15" s="18"/>
      <c r="K15" s="18"/>
      <c r="L15" s="17"/>
      <c r="M15" s="113"/>
      <c r="N15" s="9" t="s">
        <v>86</v>
      </c>
      <c r="O15" s="17">
        <f>12*10000*1.143</f>
        <v>137160</v>
      </c>
      <c r="P15" s="113"/>
      <c r="Q15" s="112"/>
      <c r="R15" s="19"/>
      <c r="S15" s="19"/>
      <c r="T15" s="19"/>
      <c r="U15" s="19"/>
      <c r="V15" s="22"/>
      <c r="W15" s="22"/>
      <c r="X15" s="22"/>
    </row>
    <row r="16" spans="1:24" ht="18" customHeight="1">
      <c r="A16" s="13"/>
      <c r="B16" s="100"/>
      <c r="C16" s="100"/>
      <c r="D16" s="100"/>
      <c r="E16" s="100"/>
      <c r="F16" s="100"/>
      <c r="G16" s="100"/>
      <c r="H16" s="100"/>
      <c r="I16" s="100"/>
      <c r="J16" s="18"/>
      <c r="K16" s="18"/>
      <c r="L16" s="17"/>
      <c r="M16" s="113"/>
      <c r="N16" s="16" t="s">
        <v>87</v>
      </c>
      <c r="O16" s="17">
        <f>12*8700*1.143</f>
        <v>119329.2</v>
      </c>
      <c r="P16" s="113"/>
      <c r="Q16" s="112"/>
      <c r="R16" s="19"/>
      <c r="S16" s="19"/>
      <c r="T16" s="19"/>
      <c r="U16" s="19"/>
      <c r="V16" s="22"/>
      <c r="W16" s="22"/>
      <c r="X16" s="22"/>
    </row>
    <row r="17" spans="1:24" ht="14.25" customHeight="1">
      <c r="A17" s="13"/>
      <c r="B17" s="100"/>
      <c r="C17" s="100"/>
      <c r="D17" s="100"/>
      <c r="E17" s="100"/>
      <c r="F17" s="100"/>
      <c r="G17" s="100"/>
      <c r="H17" s="100"/>
      <c r="I17" s="100"/>
      <c r="J17" s="18"/>
      <c r="K17" s="18"/>
      <c r="L17" s="17"/>
      <c r="M17" s="113"/>
      <c r="N17" s="16" t="s">
        <v>87</v>
      </c>
      <c r="O17" s="17">
        <f>12*8700*1.143</f>
        <v>119329.2</v>
      </c>
      <c r="P17" s="113"/>
      <c r="Q17" s="112"/>
      <c r="R17" s="19"/>
      <c r="S17" s="19"/>
      <c r="T17" s="19"/>
      <c r="U17" s="19"/>
      <c r="V17" s="22"/>
      <c r="W17" s="22"/>
      <c r="X17" s="22"/>
    </row>
    <row r="18" spans="1:24" ht="15.75" customHeight="1">
      <c r="A18" s="13"/>
      <c r="B18" s="100"/>
      <c r="C18" s="100"/>
      <c r="D18" s="100"/>
      <c r="E18" s="100"/>
      <c r="F18" s="100"/>
      <c r="G18" s="100"/>
      <c r="H18" s="100"/>
      <c r="I18" s="100"/>
      <c r="J18" s="18"/>
      <c r="K18" s="18"/>
      <c r="L18" s="17"/>
      <c r="M18" s="113"/>
      <c r="N18" s="23" t="s">
        <v>20</v>
      </c>
      <c r="O18" s="24">
        <f>O16/12+O17/12</f>
        <v>19888.2</v>
      </c>
      <c r="P18" s="113"/>
      <c r="Q18" s="112"/>
      <c r="R18" s="19"/>
      <c r="S18" s="19"/>
      <c r="T18" s="19"/>
      <c r="U18" s="19"/>
      <c r="V18" s="22"/>
      <c r="W18" s="22"/>
      <c r="X18" s="22"/>
    </row>
    <row r="19" spans="1:24" ht="24.75" customHeight="1">
      <c r="A19" s="13"/>
      <c r="B19" s="100"/>
      <c r="C19" s="100"/>
      <c r="D19" s="100"/>
      <c r="E19" s="100"/>
      <c r="F19" s="100"/>
      <c r="G19" s="100"/>
      <c r="H19" s="100"/>
      <c r="I19" s="100"/>
      <c r="J19" s="18"/>
      <c r="K19" s="18"/>
      <c r="L19" s="17"/>
      <c r="M19" s="113"/>
      <c r="N19" s="27" t="s">
        <v>82</v>
      </c>
      <c r="O19" s="17">
        <v>52560</v>
      </c>
      <c r="P19" s="113"/>
      <c r="Q19" s="113"/>
      <c r="R19" s="19"/>
      <c r="S19" s="19"/>
      <c r="T19" s="19"/>
      <c r="U19" s="19"/>
      <c r="V19" s="22"/>
      <c r="W19" s="22"/>
      <c r="X19" s="22"/>
    </row>
    <row r="20" spans="1:24" ht="15.75" customHeight="1">
      <c r="A20" s="13"/>
      <c r="B20" s="100"/>
      <c r="C20" s="100"/>
      <c r="D20" s="100"/>
      <c r="E20" s="100"/>
      <c r="F20" s="100"/>
      <c r="G20" s="100"/>
      <c r="H20" s="100"/>
      <c r="I20" s="100"/>
      <c r="J20" s="18"/>
      <c r="K20" s="18"/>
      <c r="L20" s="17"/>
      <c r="M20" s="113"/>
      <c r="N20" s="23" t="s">
        <v>21</v>
      </c>
      <c r="O20" s="24">
        <v>70000</v>
      </c>
      <c r="P20" s="113"/>
      <c r="Q20" s="113"/>
      <c r="R20" s="19"/>
      <c r="S20" s="19"/>
      <c r="T20" s="19"/>
      <c r="U20" s="19"/>
      <c r="V20" s="22"/>
      <c r="W20" s="22"/>
      <c r="X20" s="22"/>
    </row>
    <row r="21" spans="1:24" ht="15.75" customHeight="1">
      <c r="A21" s="13"/>
      <c r="B21" s="100"/>
      <c r="C21" s="100"/>
      <c r="D21" s="100"/>
      <c r="E21" s="100"/>
      <c r="F21" s="100"/>
      <c r="G21" s="100"/>
      <c r="H21" s="100"/>
      <c r="I21" s="100"/>
      <c r="J21" s="18"/>
      <c r="K21" s="18"/>
      <c r="L21" s="17"/>
      <c r="M21" s="113"/>
      <c r="N21" s="23" t="s">
        <v>22</v>
      </c>
      <c r="O21" s="24">
        <f>175903+30000+73765+85000</f>
        <v>364668</v>
      </c>
      <c r="P21" s="113"/>
      <c r="Q21" s="113"/>
      <c r="R21" s="19"/>
      <c r="S21" s="19"/>
      <c r="T21" s="19"/>
      <c r="U21" s="19"/>
      <c r="V21" s="22"/>
      <c r="W21" s="22"/>
      <c r="X21" s="22"/>
    </row>
    <row r="22" spans="1:24" ht="15.75" customHeight="1">
      <c r="A22" s="13"/>
      <c r="B22" s="100"/>
      <c r="C22" s="100"/>
      <c r="D22" s="100"/>
      <c r="E22" s="100"/>
      <c r="F22" s="100"/>
      <c r="G22" s="100"/>
      <c r="H22" s="100"/>
      <c r="I22" s="100"/>
      <c r="J22" s="18"/>
      <c r="K22" s="18"/>
      <c r="L22" s="17"/>
      <c r="M22" s="113"/>
      <c r="N22" s="23"/>
      <c r="O22" s="24"/>
      <c r="P22" s="113"/>
      <c r="Q22" s="113"/>
      <c r="R22" s="19"/>
      <c r="S22" s="19"/>
      <c r="T22" s="19"/>
      <c r="U22" s="19"/>
      <c r="V22" s="22"/>
      <c r="W22" s="22"/>
      <c r="X22" s="22"/>
    </row>
    <row r="23" spans="1:17" ht="12.75">
      <c r="A23" s="13"/>
      <c r="B23" s="100" t="s">
        <v>66</v>
      </c>
      <c r="C23" s="100"/>
      <c r="D23" s="100"/>
      <c r="E23" s="100"/>
      <c r="F23" s="100"/>
      <c r="G23" s="100"/>
      <c r="H23" s="100"/>
      <c r="I23" s="100"/>
      <c r="J23" s="18" t="s">
        <v>95</v>
      </c>
      <c r="K23" s="18">
        <f>6*1.84*R1+6*3.6*R1</f>
        <v>708356.544</v>
      </c>
      <c r="L23" s="17">
        <f>6*1.84*R6+6*3.6*R6</f>
        <v>19734.144</v>
      </c>
      <c r="M23" s="114"/>
      <c r="N23" s="17"/>
      <c r="O23" s="17"/>
      <c r="P23" s="114"/>
      <c r="Q23" s="114"/>
    </row>
    <row r="24" spans="1:24" ht="15.75" customHeight="1">
      <c r="A24" s="13"/>
      <c r="B24" s="100"/>
      <c r="C24" s="100"/>
      <c r="D24" s="100"/>
      <c r="E24" s="100"/>
      <c r="F24" s="100"/>
      <c r="G24" s="100"/>
      <c r="H24" s="100"/>
      <c r="I24" s="100"/>
      <c r="J24" s="18"/>
      <c r="K24" s="18"/>
      <c r="L24" s="17"/>
      <c r="M24" s="14"/>
      <c r="N24" s="23"/>
      <c r="O24" s="24"/>
      <c r="P24" s="14"/>
      <c r="Q24" s="16"/>
      <c r="R24" s="19"/>
      <c r="S24" s="19"/>
      <c r="T24" s="19"/>
      <c r="U24" s="19"/>
      <c r="V24" s="22"/>
      <c r="W24" s="22"/>
      <c r="X24" s="22"/>
    </row>
    <row r="25" spans="1:24" ht="15.75" customHeight="1">
      <c r="A25" s="13"/>
      <c r="B25" s="100"/>
      <c r="C25" s="100"/>
      <c r="D25" s="100"/>
      <c r="E25" s="100"/>
      <c r="F25" s="100"/>
      <c r="G25" s="100"/>
      <c r="H25" s="100"/>
      <c r="I25" s="100"/>
      <c r="J25" s="18"/>
      <c r="K25" s="18"/>
      <c r="L25" s="17"/>
      <c r="M25" s="117">
        <f>K26+K27+K28+L26+L27+L28</f>
        <v>765579.5399999998</v>
      </c>
      <c r="N25" s="17" t="s">
        <v>88</v>
      </c>
      <c r="O25" s="17">
        <f>9800*12*1.143</f>
        <v>134416.8</v>
      </c>
      <c r="P25" s="117">
        <f>O26+O27+O28+O25</f>
        <v>436854.6</v>
      </c>
      <c r="Q25" s="124">
        <f>M25-P25</f>
        <v>328724.9399999998</v>
      </c>
      <c r="R25" s="19"/>
      <c r="S25" s="19"/>
      <c r="T25" s="19"/>
      <c r="U25" s="19"/>
      <c r="V25" s="22"/>
      <c r="W25" s="22"/>
      <c r="X25" s="22"/>
    </row>
    <row r="26" spans="1:17" ht="14.25" customHeight="1">
      <c r="A26" s="13"/>
      <c r="B26" s="100" t="s">
        <v>24</v>
      </c>
      <c r="C26" s="100"/>
      <c r="D26" s="100"/>
      <c r="E26" s="100"/>
      <c r="F26" s="100"/>
      <c r="G26" s="100"/>
      <c r="H26" s="100"/>
      <c r="I26" s="100"/>
      <c r="J26" s="18" t="s">
        <v>96</v>
      </c>
      <c r="K26" s="18">
        <f>6*1.07*$R$1+6*1.13*R1</f>
        <v>286467.72</v>
      </c>
      <c r="L26" s="18">
        <f>6*1.07*R6+6*1.13*R6</f>
        <v>7980.72</v>
      </c>
      <c r="M26" s="118"/>
      <c r="N26" s="17" t="s">
        <v>88</v>
      </c>
      <c r="O26" s="17">
        <f>9800*12*1.143</f>
        <v>134416.8</v>
      </c>
      <c r="P26" s="118"/>
      <c r="Q26" s="116"/>
    </row>
    <row r="27" spans="1:17" ht="12.75">
      <c r="A27" s="13"/>
      <c r="B27" s="100" t="s">
        <v>25</v>
      </c>
      <c r="C27" s="100"/>
      <c r="D27" s="100"/>
      <c r="E27" s="100"/>
      <c r="F27" s="100"/>
      <c r="G27" s="100"/>
      <c r="H27" s="100"/>
      <c r="I27" s="100"/>
      <c r="J27" s="18" t="s">
        <v>26</v>
      </c>
      <c r="K27" s="18">
        <f>6*1.02*$R$1+6*1.11*$R$1</f>
        <v>277352.838</v>
      </c>
      <c r="L27" s="18">
        <f>6*1.02*$R$6+6*1.11*$R$6</f>
        <v>7726.7880000000005</v>
      </c>
      <c r="M27" s="118"/>
      <c r="N27" s="17" t="s">
        <v>88</v>
      </c>
      <c r="O27" s="17">
        <f>9800*12*1.143</f>
        <v>134416.8</v>
      </c>
      <c r="P27" s="118"/>
      <c r="Q27" s="116"/>
    </row>
    <row r="28" spans="1:17" ht="12.75">
      <c r="A28" s="13"/>
      <c r="B28" s="100" t="s">
        <v>27</v>
      </c>
      <c r="C28" s="100"/>
      <c r="D28" s="100"/>
      <c r="E28" s="100"/>
      <c r="F28" s="100"/>
      <c r="G28" s="100"/>
      <c r="H28" s="100"/>
      <c r="I28" s="100"/>
      <c r="J28" s="25" t="s">
        <v>68</v>
      </c>
      <c r="K28" s="18">
        <f>(6*0.69+6*0.72)*(R1-R2)</f>
        <v>180936.55800000002</v>
      </c>
      <c r="L28" s="17">
        <f>6*0.69*R6+6*0.72*R6</f>
        <v>5114.916</v>
      </c>
      <c r="M28" s="118"/>
      <c r="N28" s="23" t="s">
        <v>28</v>
      </c>
      <c r="O28" s="17">
        <f>O26/12+O27/12+O25/12</f>
        <v>33604.2</v>
      </c>
      <c r="P28" s="118"/>
      <c r="Q28" s="116"/>
    </row>
    <row r="29" spans="1:21" ht="12.75">
      <c r="A29" s="13"/>
      <c r="B29" s="100" t="s">
        <v>29</v>
      </c>
      <c r="C29" s="100"/>
      <c r="D29" s="100"/>
      <c r="E29" s="100"/>
      <c r="F29" s="100"/>
      <c r="G29" s="100"/>
      <c r="H29" s="100"/>
      <c r="I29" s="100"/>
      <c r="J29" s="25" t="s">
        <v>69</v>
      </c>
      <c r="K29" s="18">
        <f>12*(6895.01+459.23)</f>
        <v>88250.88</v>
      </c>
      <c r="L29" s="17"/>
      <c r="M29" s="117">
        <f>K29+K30+L30</f>
        <v>280343.244</v>
      </c>
      <c r="N29" s="17" t="s">
        <v>30</v>
      </c>
      <c r="O29" s="17">
        <f>12*12119.89</f>
        <v>145438.68</v>
      </c>
      <c r="P29" s="119">
        <f>O29+O30+O31</f>
        <v>220052.59999999998</v>
      </c>
      <c r="Q29" s="116">
        <f>M29-P29</f>
        <v>60290.64400000003</v>
      </c>
      <c r="R29" s="22"/>
      <c r="S29" s="22"/>
      <c r="T29" s="22"/>
      <c r="U29" s="22"/>
    </row>
    <row r="30" spans="1:21" ht="12.75">
      <c r="A30" s="13"/>
      <c r="B30" s="100" t="s">
        <v>31</v>
      </c>
      <c r="C30" s="100"/>
      <c r="D30" s="100"/>
      <c r="E30" s="100"/>
      <c r="F30" s="100"/>
      <c r="G30" s="100"/>
      <c r="H30" s="100"/>
      <c r="I30" s="100"/>
      <c r="J30" s="18" t="s">
        <v>70</v>
      </c>
      <c r="K30" s="18">
        <f>12*(14695.89+1016.14)</f>
        <v>188544.36</v>
      </c>
      <c r="L30" s="17">
        <f>12*1.31*R7</f>
        <v>3548.004</v>
      </c>
      <c r="M30" s="117"/>
      <c r="N30" s="16" t="s">
        <v>32</v>
      </c>
      <c r="O30" s="17">
        <f>12*2051.16</f>
        <v>24613.92</v>
      </c>
      <c r="P30" s="120"/>
      <c r="Q30" s="123"/>
      <c r="R30" s="19"/>
      <c r="S30" s="19"/>
      <c r="T30" s="19"/>
      <c r="U30" s="19"/>
    </row>
    <row r="31" spans="1:21" ht="12.75">
      <c r="A31" s="13"/>
      <c r="B31" s="100"/>
      <c r="C31" s="100"/>
      <c r="D31" s="100"/>
      <c r="E31" s="100"/>
      <c r="F31" s="100"/>
      <c r="G31" s="100"/>
      <c r="H31" s="100"/>
      <c r="I31" s="100"/>
      <c r="J31" s="18"/>
      <c r="K31" s="18"/>
      <c r="L31" s="17"/>
      <c r="M31" s="15"/>
      <c r="N31" s="16" t="s">
        <v>33</v>
      </c>
      <c r="O31" s="17">
        <v>50000</v>
      </c>
      <c r="P31" s="121"/>
      <c r="Q31" s="118"/>
      <c r="R31" s="19"/>
      <c r="S31" s="19"/>
      <c r="T31" s="19"/>
      <c r="U31" s="19"/>
    </row>
    <row r="32" spans="1:21" ht="12.75">
      <c r="A32" s="13"/>
      <c r="B32" s="100" t="s">
        <v>34</v>
      </c>
      <c r="C32" s="100"/>
      <c r="D32" s="100"/>
      <c r="E32" s="100"/>
      <c r="F32" s="100"/>
      <c r="G32" s="100"/>
      <c r="H32" s="100"/>
      <c r="I32" s="100"/>
      <c r="J32" s="18" t="s">
        <v>71</v>
      </c>
      <c r="K32" s="18">
        <f>12*0.38*R1</f>
        <v>98961.576</v>
      </c>
      <c r="L32" s="17">
        <f>12*0.38*R6</f>
        <v>2756.9760000000006</v>
      </c>
      <c r="M32" s="26">
        <f>K32+L32</f>
        <v>101718.552</v>
      </c>
      <c r="N32" s="16" t="s">
        <v>35</v>
      </c>
      <c r="O32" s="18">
        <f>12*9450</f>
        <v>113400</v>
      </c>
      <c r="P32" s="15">
        <f>O32</f>
        <v>113400</v>
      </c>
      <c r="Q32" s="27">
        <f>M32-P32</f>
        <v>-11681.448000000004</v>
      </c>
      <c r="R32" s="19"/>
      <c r="S32" s="19"/>
      <c r="T32" s="19"/>
      <c r="U32" s="19"/>
    </row>
    <row r="33" spans="1:21" ht="25.5">
      <c r="A33" s="13"/>
      <c r="B33" s="100" t="s">
        <v>36</v>
      </c>
      <c r="C33" s="100"/>
      <c r="D33" s="100"/>
      <c r="E33" s="100"/>
      <c r="F33" s="100"/>
      <c r="G33" s="100"/>
      <c r="H33" s="100"/>
      <c r="I33" s="100"/>
      <c r="J33" s="18" t="s">
        <v>72</v>
      </c>
      <c r="K33" s="18">
        <f>12*0.31*R5</f>
        <v>49777.691999999995</v>
      </c>
      <c r="L33" s="17">
        <f>12*0.31*R6</f>
        <v>2249.112</v>
      </c>
      <c r="M33" s="26">
        <f>K33+L33</f>
        <v>52026.804</v>
      </c>
      <c r="N33" s="16" t="s">
        <v>37</v>
      </c>
      <c r="O33" s="17">
        <v>24896.64</v>
      </c>
      <c r="P33" s="28">
        <f>O33</f>
        <v>24896.64</v>
      </c>
      <c r="Q33" s="27">
        <f>M33-P33</f>
        <v>27130.163999999997</v>
      </c>
      <c r="R33" s="19"/>
      <c r="S33" s="19"/>
      <c r="T33" s="19"/>
      <c r="U33" s="19"/>
    </row>
    <row r="34" spans="1:21" ht="25.5">
      <c r="A34" s="13" t="s">
        <v>38</v>
      </c>
      <c r="B34" s="100" t="s">
        <v>39</v>
      </c>
      <c r="C34" s="100"/>
      <c r="D34" s="100"/>
      <c r="E34" s="100"/>
      <c r="F34" s="100"/>
      <c r="G34" s="100"/>
      <c r="H34" s="100"/>
      <c r="I34" s="100"/>
      <c r="J34" s="18" t="s">
        <v>73</v>
      </c>
      <c r="K34" s="18">
        <f>(6*22.8+6*24.11)*660</f>
        <v>185763.60000000003</v>
      </c>
      <c r="L34" s="17">
        <f>6*22.8*35+6*24.11*35</f>
        <v>9851.099999999999</v>
      </c>
      <c r="M34" s="26">
        <f>K34+L34</f>
        <v>195614.70000000004</v>
      </c>
      <c r="N34" s="16" t="s">
        <v>40</v>
      </c>
      <c r="O34" s="38">
        <v>234320.29</v>
      </c>
      <c r="P34" s="29">
        <f>O34</f>
        <v>234320.29</v>
      </c>
      <c r="Q34" s="27">
        <f>M34-P34</f>
        <v>-38705.58999999997</v>
      </c>
      <c r="R34" s="19"/>
      <c r="S34" s="19"/>
      <c r="T34" s="19"/>
      <c r="U34" s="19"/>
    </row>
    <row r="35" spans="1:17" ht="12.75">
      <c r="A35" s="13" t="s">
        <v>41</v>
      </c>
      <c r="B35" s="100" t="s">
        <v>42</v>
      </c>
      <c r="C35" s="100"/>
      <c r="D35" s="100"/>
      <c r="E35" s="100"/>
      <c r="F35" s="100"/>
      <c r="G35" s="100"/>
      <c r="H35" s="100"/>
      <c r="I35" s="100"/>
      <c r="J35" s="18" t="s">
        <v>43</v>
      </c>
      <c r="K35" s="18">
        <f>12*2.18*R1</f>
        <v>567726.936</v>
      </c>
      <c r="L35" s="17"/>
      <c r="M35" s="117">
        <f>K35</f>
        <v>567726.936</v>
      </c>
      <c r="N35" s="17" t="s">
        <v>89</v>
      </c>
      <c r="O35" s="17">
        <f>23000*12*1.143</f>
        <v>315468</v>
      </c>
      <c r="P35" s="117">
        <f>SUM(O35:O43)</f>
        <v>599038</v>
      </c>
      <c r="Q35" s="116">
        <f>M35-P35</f>
        <v>-31311.064000000013</v>
      </c>
    </row>
    <row r="36" spans="1:17" ht="12.75">
      <c r="A36" s="13"/>
      <c r="B36" s="100"/>
      <c r="C36" s="100"/>
      <c r="D36" s="100"/>
      <c r="E36" s="100"/>
      <c r="F36" s="100"/>
      <c r="G36" s="100"/>
      <c r="H36" s="100"/>
      <c r="I36" s="100"/>
      <c r="J36" s="18"/>
      <c r="K36" s="18"/>
      <c r="L36" s="17"/>
      <c r="M36" s="117"/>
      <c r="N36" s="17" t="s">
        <v>90</v>
      </c>
      <c r="O36" s="17">
        <f>9000*12*1.143</f>
        <v>123444</v>
      </c>
      <c r="P36" s="117"/>
      <c r="Q36" s="116"/>
    </row>
    <row r="37" spans="1:17" ht="12.75">
      <c r="A37" s="13"/>
      <c r="B37" s="100"/>
      <c r="C37" s="100"/>
      <c r="D37" s="100"/>
      <c r="E37" s="100"/>
      <c r="F37" s="100"/>
      <c r="G37" s="100"/>
      <c r="H37" s="100"/>
      <c r="I37" s="100"/>
      <c r="J37" s="18"/>
      <c r="K37" s="18"/>
      <c r="L37" s="17"/>
      <c r="M37" s="117"/>
      <c r="N37" s="17" t="s">
        <v>44</v>
      </c>
      <c r="O37" s="17">
        <f>12*28.5*300</f>
        <v>102600</v>
      </c>
      <c r="P37" s="117"/>
      <c r="Q37" s="116"/>
    </row>
    <row r="38" spans="1:17" ht="12.75">
      <c r="A38" s="13"/>
      <c r="B38" s="100"/>
      <c r="C38" s="100"/>
      <c r="D38" s="100"/>
      <c r="E38" s="100"/>
      <c r="F38" s="100"/>
      <c r="G38" s="100"/>
      <c r="H38" s="100"/>
      <c r="I38" s="100"/>
      <c r="J38" s="18"/>
      <c r="K38" s="18"/>
      <c r="L38" s="17"/>
      <c r="M38" s="117"/>
      <c r="N38" s="17" t="s">
        <v>45</v>
      </c>
      <c r="O38" s="17">
        <f>12*2000</f>
        <v>24000</v>
      </c>
      <c r="P38" s="117"/>
      <c r="Q38" s="116"/>
    </row>
    <row r="39" spans="1:17" ht="12.75">
      <c r="A39" s="13"/>
      <c r="B39" s="100"/>
      <c r="C39" s="100"/>
      <c r="D39" s="100"/>
      <c r="E39" s="100"/>
      <c r="F39" s="100"/>
      <c r="G39" s="100"/>
      <c r="H39" s="100"/>
      <c r="I39" s="100"/>
      <c r="J39" s="18"/>
      <c r="K39" s="18"/>
      <c r="L39" s="17"/>
      <c r="M39" s="117"/>
      <c r="N39" s="17" t="s">
        <v>46</v>
      </c>
      <c r="O39" s="17">
        <f>4*2040</f>
        <v>8160</v>
      </c>
      <c r="P39" s="117"/>
      <c r="Q39" s="116"/>
    </row>
    <row r="40" spans="1:17" ht="12.75">
      <c r="A40" s="13"/>
      <c r="B40" s="100"/>
      <c r="C40" s="100"/>
      <c r="D40" s="100"/>
      <c r="E40" s="100"/>
      <c r="F40" s="100"/>
      <c r="G40" s="100"/>
      <c r="H40" s="100"/>
      <c r="I40" s="100"/>
      <c r="J40" s="18"/>
      <c r="K40" s="18"/>
      <c r="L40" s="17"/>
      <c r="M40" s="117"/>
      <c r="N40" s="17" t="s">
        <v>47</v>
      </c>
      <c r="O40" s="17">
        <v>5420</v>
      </c>
      <c r="P40" s="117"/>
      <c r="Q40" s="116"/>
    </row>
    <row r="41" spans="1:17" ht="12.75">
      <c r="A41" s="13"/>
      <c r="B41" s="100"/>
      <c r="C41" s="100"/>
      <c r="D41" s="100"/>
      <c r="E41" s="100"/>
      <c r="F41" s="100"/>
      <c r="G41" s="100"/>
      <c r="H41" s="100"/>
      <c r="I41" s="100"/>
      <c r="J41" s="18"/>
      <c r="K41" s="18"/>
      <c r="L41" s="17"/>
      <c r="M41" s="117"/>
      <c r="N41" s="9" t="s">
        <v>83</v>
      </c>
      <c r="O41" s="17">
        <f>51*36.5*4</f>
        <v>7446</v>
      </c>
      <c r="P41" s="117"/>
      <c r="Q41" s="116"/>
    </row>
    <row r="42" spans="1:17" ht="12.75">
      <c r="A42" s="13"/>
      <c r="B42" s="100"/>
      <c r="C42" s="100"/>
      <c r="D42" s="100"/>
      <c r="E42" s="100"/>
      <c r="F42" s="100"/>
      <c r="G42" s="100"/>
      <c r="H42" s="100"/>
      <c r="I42" s="100"/>
      <c r="J42" s="18"/>
      <c r="K42" s="18"/>
      <c r="L42" s="17"/>
      <c r="M42" s="117"/>
      <c r="N42" s="17" t="s">
        <v>48</v>
      </c>
      <c r="O42" s="17">
        <f>12*250*1.5</f>
        <v>4500</v>
      </c>
      <c r="P42" s="117"/>
      <c r="Q42" s="116"/>
    </row>
    <row r="43" spans="1:17" ht="12.75">
      <c r="A43" s="13"/>
      <c r="B43" s="100"/>
      <c r="C43" s="100"/>
      <c r="D43" s="100"/>
      <c r="E43" s="100"/>
      <c r="F43" s="100"/>
      <c r="G43" s="100"/>
      <c r="H43" s="100"/>
      <c r="I43" s="100"/>
      <c r="J43" s="18"/>
      <c r="K43" s="18"/>
      <c r="L43" s="17"/>
      <c r="M43" s="117"/>
      <c r="N43" s="9" t="s">
        <v>49</v>
      </c>
      <c r="O43" s="17">
        <v>8000</v>
      </c>
      <c r="P43" s="117"/>
      <c r="Q43" s="116"/>
    </row>
    <row r="44" spans="1:17" ht="12.75">
      <c r="A44" s="13" t="s">
        <v>50</v>
      </c>
      <c r="B44" s="100" t="s">
        <v>51</v>
      </c>
      <c r="C44" s="100"/>
      <c r="D44" s="100"/>
      <c r="E44" s="100"/>
      <c r="F44" s="100"/>
      <c r="G44" s="100"/>
      <c r="H44" s="100"/>
      <c r="I44" s="100"/>
      <c r="J44" s="18" t="s">
        <v>52</v>
      </c>
      <c r="K44" s="18">
        <f>64.57*356*12</f>
        <v>275843.04</v>
      </c>
      <c r="L44" s="17"/>
      <c r="M44" s="117">
        <f>K44</f>
        <v>275843.04</v>
      </c>
      <c r="N44" s="17" t="s">
        <v>91</v>
      </c>
      <c r="O44" s="17">
        <f>4400*4*12*1.143</f>
        <v>241401.6</v>
      </c>
      <c r="P44" s="117">
        <f>O44+O45</f>
        <v>261518.4</v>
      </c>
      <c r="Q44" s="116">
        <f>M44-P44</f>
        <v>14324.639999999985</v>
      </c>
    </row>
    <row r="45" spans="1:17" ht="12.75">
      <c r="A45" s="13"/>
      <c r="B45" s="100"/>
      <c r="C45" s="100"/>
      <c r="D45" s="100"/>
      <c r="E45" s="100"/>
      <c r="F45" s="100"/>
      <c r="G45" s="100"/>
      <c r="H45" s="100"/>
      <c r="I45" s="100"/>
      <c r="J45" s="18"/>
      <c r="K45" s="18"/>
      <c r="L45" s="17"/>
      <c r="M45" s="117"/>
      <c r="N45" s="23" t="s">
        <v>53</v>
      </c>
      <c r="O45" s="17">
        <f>O44/12</f>
        <v>20116.8</v>
      </c>
      <c r="P45" s="117"/>
      <c r="Q45" s="116"/>
    </row>
    <row r="46" spans="1:17" ht="12.75">
      <c r="A46" s="13" t="s">
        <v>54</v>
      </c>
      <c r="B46" s="100" t="s">
        <v>55</v>
      </c>
      <c r="C46" s="100"/>
      <c r="D46" s="100"/>
      <c r="E46" s="100"/>
      <c r="F46" s="100"/>
      <c r="G46" s="100"/>
      <c r="H46" s="100"/>
      <c r="I46" s="100"/>
      <c r="J46" s="36" t="s">
        <v>74</v>
      </c>
      <c r="K46" s="18">
        <f>12*16832.9</f>
        <v>201994.80000000002</v>
      </c>
      <c r="L46" s="17"/>
      <c r="M46" s="26">
        <f>K46</f>
        <v>201994.80000000002</v>
      </c>
      <c r="N46" s="17" t="s">
        <v>56</v>
      </c>
      <c r="O46" s="17">
        <f>K46</f>
        <v>201994.80000000002</v>
      </c>
      <c r="P46" s="26">
        <f>O46</f>
        <v>201994.80000000002</v>
      </c>
      <c r="Q46" s="17">
        <f>M46-P46</f>
        <v>0</v>
      </c>
    </row>
    <row r="47" spans="1:17" ht="12.75">
      <c r="A47" s="13">
        <v>6</v>
      </c>
      <c r="B47" s="100" t="s">
        <v>57</v>
      </c>
      <c r="C47" s="100"/>
      <c r="D47" s="100"/>
      <c r="E47" s="100"/>
      <c r="F47" s="100"/>
      <c r="G47" s="100"/>
      <c r="H47" s="100"/>
      <c r="I47" s="100"/>
      <c r="J47" s="18" t="s">
        <v>75</v>
      </c>
      <c r="K47" s="18">
        <f>36*12*339</f>
        <v>146448</v>
      </c>
      <c r="L47" s="17">
        <v>6228</v>
      </c>
      <c r="M47" s="26">
        <f>K47+L47</f>
        <v>152676</v>
      </c>
      <c r="N47" s="17" t="s">
        <v>58</v>
      </c>
      <c r="O47" s="17">
        <f>12*36*357</f>
        <v>154224</v>
      </c>
      <c r="P47" s="26">
        <f>O47</f>
        <v>154224</v>
      </c>
      <c r="Q47" s="17">
        <f>M47-P47</f>
        <v>-1548</v>
      </c>
    </row>
    <row r="48" spans="1:17" ht="12.75">
      <c r="A48" s="13">
        <v>7</v>
      </c>
      <c r="B48" s="100" t="s">
        <v>59</v>
      </c>
      <c r="C48" s="100"/>
      <c r="D48" s="100"/>
      <c r="E48" s="100"/>
      <c r="F48" s="100"/>
      <c r="G48" s="100"/>
      <c r="H48" s="100"/>
      <c r="I48" s="100"/>
      <c r="J48" s="18" t="s">
        <v>76</v>
      </c>
      <c r="K48" s="18">
        <f>12*5454</f>
        <v>65448</v>
      </c>
      <c r="L48" s="17">
        <v>3078</v>
      </c>
      <c r="M48" s="26">
        <f>K48+L48</f>
        <v>68526</v>
      </c>
      <c r="N48" s="17" t="s">
        <v>60</v>
      </c>
      <c r="O48" s="17">
        <f>12*5200</f>
        <v>62400</v>
      </c>
      <c r="P48" s="26">
        <f>O48</f>
        <v>62400</v>
      </c>
      <c r="Q48" s="17">
        <f>M48-P48</f>
        <v>6126</v>
      </c>
    </row>
    <row r="49" spans="1:17" ht="12.75">
      <c r="A49" s="13"/>
      <c r="B49" s="100"/>
      <c r="C49" s="100"/>
      <c r="D49" s="100"/>
      <c r="E49" s="100"/>
      <c r="F49" s="100"/>
      <c r="G49" s="100"/>
      <c r="H49" s="100"/>
      <c r="I49" s="100"/>
      <c r="J49" s="9"/>
      <c r="K49" s="9"/>
      <c r="L49" s="9"/>
      <c r="M49" s="9"/>
      <c r="N49" s="9"/>
      <c r="O49" s="9"/>
      <c r="P49" s="9"/>
      <c r="Q49" s="9"/>
    </row>
    <row r="50" spans="1:17" ht="24" customHeight="1">
      <c r="A50" s="13">
        <v>9</v>
      </c>
      <c r="B50" s="100" t="s">
        <v>61</v>
      </c>
      <c r="C50" s="100"/>
      <c r="D50" s="100"/>
      <c r="E50" s="100"/>
      <c r="F50" s="100"/>
      <c r="G50" s="100"/>
      <c r="H50" s="100"/>
      <c r="I50" s="100"/>
      <c r="J50" s="18"/>
      <c r="K50" s="18"/>
      <c r="L50" s="17"/>
      <c r="M50" s="26"/>
      <c r="N50" s="17"/>
      <c r="O50" s="17"/>
      <c r="P50" s="26"/>
      <c r="Q50" s="17"/>
    </row>
    <row r="51" spans="1:17" ht="24" customHeight="1">
      <c r="A51" s="13"/>
      <c r="B51" s="100"/>
      <c r="C51" s="100"/>
      <c r="D51" s="100"/>
      <c r="E51" s="100"/>
      <c r="F51" s="100"/>
      <c r="G51" s="100"/>
      <c r="H51" s="100"/>
      <c r="I51" s="100"/>
      <c r="J51" s="18"/>
      <c r="K51" s="18"/>
      <c r="L51" s="17"/>
      <c r="M51" s="26"/>
      <c r="N51" s="17"/>
      <c r="O51" s="17"/>
      <c r="P51" s="26"/>
      <c r="Q51" s="9"/>
    </row>
    <row r="52" spans="1:17" ht="24" customHeight="1">
      <c r="A52" s="13"/>
      <c r="B52" s="100" t="s">
        <v>78</v>
      </c>
      <c r="C52" s="100"/>
      <c r="D52" s="100"/>
      <c r="E52" s="100"/>
      <c r="F52" s="100"/>
      <c r="G52" s="100"/>
      <c r="H52" s="100"/>
      <c r="I52" s="100"/>
      <c r="J52" s="18" t="s">
        <v>80</v>
      </c>
      <c r="K52" s="18">
        <f>12*21.32*356</f>
        <v>91079.04000000001</v>
      </c>
      <c r="L52" s="17"/>
      <c r="M52" s="26">
        <f>K52+L52</f>
        <v>91079.04000000001</v>
      </c>
      <c r="N52" s="17" t="s">
        <v>79</v>
      </c>
      <c r="O52" s="17">
        <f>12*(7200+388.22)</f>
        <v>91058.64</v>
      </c>
      <c r="P52" s="26">
        <f>O52</f>
        <v>91058.64</v>
      </c>
      <c r="Q52" s="17">
        <f>M52-P52</f>
        <v>20.40000000000873</v>
      </c>
    </row>
    <row r="53" spans="1:17" ht="24" customHeight="1">
      <c r="A53" s="13"/>
      <c r="B53" s="100"/>
      <c r="C53" s="100"/>
      <c r="D53" s="100"/>
      <c r="E53" s="100"/>
      <c r="F53" s="100"/>
      <c r="G53" s="100"/>
      <c r="H53" s="100"/>
      <c r="I53" s="100"/>
      <c r="J53" s="18"/>
      <c r="K53" s="18"/>
      <c r="L53" s="17"/>
      <c r="M53" s="26"/>
      <c r="N53" s="17"/>
      <c r="O53" s="17"/>
      <c r="P53" s="26"/>
      <c r="Q53" s="9"/>
    </row>
    <row r="54" spans="1:17" ht="24" customHeight="1">
      <c r="A54" s="13"/>
      <c r="B54" s="100" t="s">
        <v>62</v>
      </c>
      <c r="C54" s="100"/>
      <c r="D54" s="100"/>
      <c r="E54" s="100"/>
      <c r="F54" s="100"/>
      <c r="G54" s="100"/>
      <c r="H54" s="100"/>
      <c r="I54" s="100"/>
      <c r="J54" s="18" t="s">
        <v>77</v>
      </c>
      <c r="K54" s="18">
        <f>12*8.36*R1</f>
        <v>2177154.672</v>
      </c>
      <c r="L54" s="17">
        <f>12*8.36*R6</f>
        <v>60653.472</v>
      </c>
      <c r="M54" s="26">
        <f>K54+L54</f>
        <v>2237808.144</v>
      </c>
      <c r="N54" s="17"/>
      <c r="O54" s="17"/>
      <c r="P54" s="26">
        <f>1454269.6/7.43*8.36</f>
        <v>1636297.9617765816</v>
      </c>
      <c r="Q54" s="17">
        <f>M54-P54</f>
        <v>601510.1822234183</v>
      </c>
    </row>
    <row r="55" spans="1:17" ht="24" customHeight="1">
      <c r="A55" s="13"/>
      <c r="B55" s="100" t="s">
        <v>63</v>
      </c>
      <c r="C55" s="100"/>
      <c r="D55" s="100"/>
      <c r="E55" s="100"/>
      <c r="F55" s="100"/>
      <c r="G55" s="100"/>
      <c r="H55" s="100"/>
      <c r="I55" s="100"/>
      <c r="J55" s="18"/>
      <c r="K55" s="18">
        <f>12*62419.07</f>
        <v>749028.84</v>
      </c>
      <c r="L55" s="17">
        <v>38382.58</v>
      </c>
      <c r="M55" s="26">
        <f>K55+L55</f>
        <v>787411.4199999999</v>
      </c>
      <c r="N55" s="17"/>
      <c r="O55" s="17"/>
      <c r="P55" s="26"/>
      <c r="Q55" s="17">
        <f>M55-P55</f>
        <v>787411.4199999999</v>
      </c>
    </row>
    <row r="56" spans="1:17" ht="24" customHeight="1">
      <c r="A56" s="13"/>
      <c r="B56" s="100" t="s">
        <v>64</v>
      </c>
      <c r="C56" s="100"/>
      <c r="D56" s="100"/>
      <c r="E56" s="100"/>
      <c r="F56" s="100"/>
      <c r="G56" s="100"/>
      <c r="H56" s="100"/>
      <c r="I56" s="100"/>
      <c r="J56" s="18"/>
      <c r="K56" s="18">
        <f>12*29257.17</f>
        <v>351086.04</v>
      </c>
      <c r="L56" s="17">
        <v>29557.02</v>
      </c>
      <c r="M56" s="26">
        <f>K56+L56</f>
        <v>380643.06</v>
      </c>
      <c r="N56" s="17"/>
      <c r="O56" s="17"/>
      <c r="P56" s="26">
        <f>433243.77/11.96*13.76</f>
        <v>498447.6818729097</v>
      </c>
      <c r="Q56" s="17">
        <f>M56-P56</f>
        <v>-117804.62187290972</v>
      </c>
    </row>
    <row r="57" spans="1:17" ht="24" customHeight="1">
      <c r="A57" s="13"/>
      <c r="B57" s="100"/>
      <c r="C57" s="100"/>
      <c r="D57" s="100"/>
      <c r="E57" s="100"/>
      <c r="F57" s="100"/>
      <c r="G57" s="100"/>
      <c r="H57" s="100"/>
      <c r="I57" s="100"/>
      <c r="J57" s="18"/>
      <c r="K57" s="18"/>
      <c r="L57" s="17"/>
      <c r="M57" s="26"/>
      <c r="N57" s="17"/>
      <c r="O57" s="17"/>
      <c r="P57" s="26"/>
      <c r="Q57" s="17"/>
    </row>
    <row r="58" spans="1:17" ht="24" customHeight="1">
      <c r="A58" s="13"/>
      <c r="B58" s="100"/>
      <c r="C58" s="100"/>
      <c r="D58" s="100"/>
      <c r="E58" s="100"/>
      <c r="F58" s="100"/>
      <c r="G58" s="100"/>
      <c r="H58" s="100"/>
      <c r="I58" s="100"/>
      <c r="J58" s="18"/>
      <c r="K58" s="18"/>
      <c r="L58" s="17"/>
      <c r="M58" s="26"/>
      <c r="N58" s="23" t="s">
        <v>23</v>
      </c>
      <c r="O58" s="24">
        <v>600000</v>
      </c>
      <c r="P58" s="26">
        <f>O58</f>
        <v>600000</v>
      </c>
      <c r="Q58" s="17">
        <f>M58-P58</f>
        <v>-600000</v>
      </c>
    </row>
    <row r="59" spans="1:17" ht="18" customHeight="1">
      <c r="A59" s="13"/>
      <c r="B59" s="101" t="s">
        <v>65</v>
      </c>
      <c r="C59" s="101"/>
      <c r="D59" s="101"/>
      <c r="E59" s="101"/>
      <c r="F59" s="101"/>
      <c r="G59" s="101"/>
      <c r="H59" s="101"/>
      <c r="I59" s="101"/>
      <c r="J59" s="18"/>
      <c r="K59" s="30">
        <f>SUM(K11:K56)</f>
        <v>7414203.191999999</v>
      </c>
      <c r="L59" s="31">
        <f>SUM(L11:L56)</f>
        <v>217030.28799999997</v>
      </c>
      <c r="M59" s="31">
        <f>SUM(M10:M56)</f>
        <v>7631233.4799999995</v>
      </c>
      <c r="N59" s="31"/>
      <c r="O59" s="31"/>
      <c r="P59" s="26">
        <f>SUM(P10:P58)</f>
        <v>6709977.213649491</v>
      </c>
      <c r="Q59" s="37">
        <f>SUM(Q10:Q58)</f>
        <v>921256.2663505082</v>
      </c>
    </row>
    <row r="60" spans="1:17" ht="18" customHeight="1">
      <c r="A60" s="13"/>
      <c r="B60" s="101"/>
      <c r="C60" s="101"/>
      <c r="D60" s="101"/>
      <c r="E60" s="101"/>
      <c r="F60" s="101"/>
      <c r="G60" s="101"/>
      <c r="H60" s="101"/>
      <c r="I60" s="101"/>
      <c r="J60" s="18"/>
      <c r="K60" s="30"/>
      <c r="L60" s="31"/>
      <c r="M60" s="26"/>
      <c r="N60" s="31"/>
      <c r="O60" s="31"/>
      <c r="P60" s="26"/>
      <c r="Q60" s="26"/>
    </row>
    <row r="61" spans="1:17" ht="18" customHeight="1">
      <c r="A61" s="9"/>
      <c r="B61" s="101"/>
      <c r="C61" s="101"/>
      <c r="D61" s="101"/>
      <c r="E61" s="101"/>
      <c r="F61" s="101"/>
      <c r="G61" s="101"/>
      <c r="H61" s="101"/>
      <c r="I61" s="101"/>
      <c r="J61" s="9"/>
      <c r="K61" s="9"/>
      <c r="L61" s="9"/>
      <c r="M61" s="9"/>
      <c r="N61" s="17" t="s">
        <v>93</v>
      </c>
      <c r="O61" s="17">
        <f>12*9000*1.143</f>
        <v>123444</v>
      </c>
      <c r="P61" s="26">
        <f>O61</f>
        <v>123444</v>
      </c>
      <c r="Q61" s="37">
        <f>Q59-P61</f>
        <v>797812.2663505082</v>
      </c>
    </row>
    <row r="62" spans="1:17" ht="19.5" customHeight="1">
      <c r="A62" s="13">
        <v>10</v>
      </c>
      <c r="B62" s="100" t="s">
        <v>92</v>
      </c>
      <c r="C62" s="100"/>
      <c r="D62" s="100"/>
      <c r="E62" s="100"/>
      <c r="F62" s="100"/>
      <c r="G62" s="100"/>
      <c r="H62" s="100"/>
      <c r="I62" s="100"/>
      <c r="J62" s="18"/>
      <c r="K62" s="18"/>
      <c r="L62" s="17"/>
      <c r="M62" s="26"/>
      <c r="N62" s="17"/>
      <c r="O62" s="17"/>
      <c r="P62" s="26"/>
      <c r="Q62" s="26"/>
    </row>
    <row r="63" ht="12.75">
      <c r="Q63" s="32"/>
    </row>
  </sheetData>
  <sheetProtection/>
  <mergeCells count="75">
    <mergeCell ref="B26:I26"/>
    <mergeCell ref="B28:I28"/>
    <mergeCell ref="B30:I30"/>
    <mergeCell ref="B27:I27"/>
    <mergeCell ref="B56:I56"/>
    <mergeCell ref="B55:I55"/>
    <mergeCell ref="P35:P43"/>
    <mergeCell ref="M35:M43"/>
    <mergeCell ref="B47:I47"/>
    <mergeCell ref="B51:I51"/>
    <mergeCell ref="B41:I41"/>
    <mergeCell ref="B36:I36"/>
    <mergeCell ref="M44:M45"/>
    <mergeCell ref="B44:I44"/>
    <mergeCell ref="B37:I37"/>
    <mergeCell ref="Q44:Q45"/>
    <mergeCell ref="P44:P45"/>
    <mergeCell ref="B10:I10"/>
    <mergeCell ref="B23:I23"/>
    <mergeCell ref="M10:M23"/>
    <mergeCell ref="B45:I45"/>
    <mergeCell ref="B15:I15"/>
    <mergeCell ref="Q29:Q31"/>
    <mergeCell ref="Q25:Q28"/>
    <mergeCell ref="P25:P28"/>
    <mergeCell ref="Q35:Q43"/>
    <mergeCell ref="B38:I38"/>
    <mergeCell ref="B39:I39"/>
    <mergeCell ref="M25:M28"/>
    <mergeCell ref="M29:M30"/>
    <mergeCell ref="B25:I25"/>
    <mergeCell ref="P29:P31"/>
    <mergeCell ref="B31:I31"/>
    <mergeCell ref="B32:I32"/>
    <mergeCell ref="B42:I42"/>
    <mergeCell ref="V11:W11"/>
    <mergeCell ref="V12:W12"/>
    <mergeCell ref="B12:I12"/>
    <mergeCell ref="B13:I13"/>
    <mergeCell ref="Q10:Q23"/>
    <mergeCell ref="B11:I11"/>
    <mergeCell ref="B19:I19"/>
    <mergeCell ref="B20:I20"/>
    <mergeCell ref="B16:I16"/>
    <mergeCell ref="P10:P23"/>
    <mergeCell ref="B61:I61"/>
    <mergeCell ref="B49:I49"/>
    <mergeCell ref="B60:I60"/>
    <mergeCell ref="B53:I53"/>
    <mergeCell ref="A1:P1"/>
    <mergeCell ref="A2:P2"/>
    <mergeCell ref="A3:P3"/>
    <mergeCell ref="B9:I9"/>
    <mergeCell ref="B8:I8"/>
    <mergeCell ref="B48:I48"/>
    <mergeCell ref="B17:I17"/>
    <mergeCell ref="B14:I14"/>
    <mergeCell ref="B18:I18"/>
    <mergeCell ref="B21:I21"/>
    <mergeCell ref="B62:I62"/>
    <mergeCell ref="B46:I46"/>
    <mergeCell ref="B43:I43"/>
    <mergeCell ref="B40:I40"/>
    <mergeCell ref="B50:I50"/>
    <mergeCell ref="B52:I52"/>
    <mergeCell ref="B22:I22"/>
    <mergeCell ref="B24:I24"/>
    <mergeCell ref="B59:I59"/>
    <mergeCell ref="B33:I33"/>
    <mergeCell ref="B57:I57"/>
    <mergeCell ref="B58:I58"/>
    <mergeCell ref="B34:I34"/>
    <mergeCell ref="B35:I35"/>
    <mergeCell ref="B29:I29"/>
    <mergeCell ref="B54:I54"/>
  </mergeCells>
  <printOptions/>
  <pageMargins left="0.1968503937007874" right="0.1968503937007874" top="0.1968503937007874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75" zoomScaleNormal="75" zoomScalePageLayoutView="0" workbookViewId="0" topLeftCell="B44">
      <selection activeCell="J51" sqref="J51"/>
    </sheetView>
  </sheetViews>
  <sheetFormatPr defaultColWidth="9.00390625" defaultRowHeight="12.75"/>
  <cols>
    <col min="1" max="1" width="5.875" style="0" customWidth="1"/>
    <col min="2" max="2" width="70.375" style="0" customWidth="1"/>
    <col min="3" max="3" width="20.00390625" style="0" customWidth="1"/>
    <col min="4" max="4" width="11.00390625" style="0" customWidth="1"/>
    <col min="5" max="5" width="16.25390625" style="0" customWidth="1"/>
    <col min="6" max="6" width="22.125" style="90" customWidth="1"/>
    <col min="7" max="7" width="3.375" style="0" customWidth="1"/>
    <col min="9" max="9" width="16.125" style="0" customWidth="1"/>
    <col min="10" max="10" width="17.875" style="0" customWidth="1"/>
    <col min="11" max="11" width="13.25390625" style="0" customWidth="1"/>
    <col min="12" max="12" width="12.125" style="0" customWidth="1"/>
    <col min="13" max="13" width="12.625" style="0" customWidth="1"/>
    <col min="14" max="14" width="14.75390625" style="0" customWidth="1"/>
    <col min="15" max="16" width="15.00390625" style="0" customWidth="1"/>
    <col min="17" max="17" width="14.25390625" style="0" customWidth="1"/>
  </cols>
  <sheetData>
    <row r="1" spans="2:6" ht="18" customHeight="1">
      <c r="B1" s="76" t="s">
        <v>112</v>
      </c>
      <c r="C1" s="76"/>
      <c r="D1" s="76"/>
      <c r="E1" s="76"/>
      <c r="F1" s="82"/>
    </row>
    <row r="2" spans="2:6" ht="15.75" customHeight="1">
      <c r="B2" s="77" t="s">
        <v>2</v>
      </c>
      <c r="C2" s="77"/>
      <c r="D2" s="77"/>
      <c r="E2" s="77"/>
      <c r="F2" s="83"/>
    </row>
    <row r="3" spans="2:6" ht="17.25" customHeight="1">
      <c r="B3" s="77" t="s">
        <v>142</v>
      </c>
      <c r="C3" s="77"/>
      <c r="D3" s="77"/>
      <c r="E3" s="77"/>
      <c r="F3" s="83"/>
    </row>
    <row r="4" spans="1:6" ht="17.25" customHeight="1">
      <c r="A4" s="3"/>
      <c r="B4" s="3"/>
      <c r="C4" s="3"/>
      <c r="D4" s="3"/>
      <c r="E4" s="3"/>
      <c r="F4" s="83"/>
    </row>
    <row r="6" spans="1:6" ht="31.5" customHeight="1" thickBot="1">
      <c r="A6" s="44"/>
      <c r="B6" s="60" t="s">
        <v>124</v>
      </c>
      <c r="C6" s="60" t="s">
        <v>126</v>
      </c>
      <c r="D6" s="46"/>
      <c r="E6" s="61" t="s">
        <v>143</v>
      </c>
      <c r="F6" s="91" t="s">
        <v>144</v>
      </c>
    </row>
    <row r="7" spans="1:6" ht="27.75" customHeight="1" thickBot="1">
      <c r="A7" s="62"/>
      <c r="B7" s="63" t="s">
        <v>11</v>
      </c>
      <c r="C7" s="64"/>
      <c r="D7" s="65"/>
      <c r="E7" s="66"/>
      <c r="F7" s="84"/>
    </row>
    <row r="8" spans="1:6" ht="19.5" customHeight="1">
      <c r="A8" s="58"/>
      <c r="B8" s="45" t="s">
        <v>14</v>
      </c>
      <c r="C8" s="33"/>
      <c r="D8" s="33"/>
      <c r="E8" s="33"/>
      <c r="F8" s="42"/>
    </row>
    <row r="9" spans="1:6" ht="19.5" customHeight="1">
      <c r="A9" s="13"/>
      <c r="B9" s="78" t="s">
        <v>108</v>
      </c>
      <c r="C9" s="21" t="s">
        <v>146</v>
      </c>
      <c r="D9" s="18" t="s">
        <v>115</v>
      </c>
      <c r="E9" s="18"/>
      <c r="F9" s="54">
        <v>2691540.7</v>
      </c>
    </row>
    <row r="10" spans="1:6" ht="19.5" customHeight="1">
      <c r="A10" s="13"/>
      <c r="B10" s="16" t="s">
        <v>114</v>
      </c>
      <c r="C10" s="18">
        <v>9.68</v>
      </c>
      <c r="D10" s="18" t="s">
        <v>115</v>
      </c>
      <c r="E10" s="18"/>
      <c r="F10" s="94">
        <v>2605305.96</v>
      </c>
    </row>
    <row r="11" spans="1:6" ht="19.5" customHeight="1">
      <c r="A11" s="13"/>
      <c r="B11" s="16" t="s">
        <v>109</v>
      </c>
      <c r="C11" s="21" t="s">
        <v>156</v>
      </c>
      <c r="D11" s="18" t="s">
        <v>115</v>
      </c>
      <c r="E11" s="18"/>
      <c r="F11" s="94">
        <v>162831.66</v>
      </c>
    </row>
    <row r="12" spans="1:6" ht="19.5" customHeight="1">
      <c r="A12" s="13"/>
      <c r="B12" s="16" t="s">
        <v>24</v>
      </c>
      <c r="C12" s="21" t="s">
        <v>154</v>
      </c>
      <c r="D12" s="18" t="s">
        <v>115</v>
      </c>
      <c r="E12" s="18"/>
      <c r="F12" s="94">
        <v>394296.84</v>
      </c>
    </row>
    <row r="13" spans="1:6" ht="19.5" customHeight="1">
      <c r="A13" s="13"/>
      <c r="B13" s="16" t="s">
        <v>27</v>
      </c>
      <c r="C13" s="93" t="s">
        <v>155</v>
      </c>
      <c r="D13" s="25" t="s">
        <v>115</v>
      </c>
      <c r="E13" s="25"/>
      <c r="F13" s="94">
        <v>352577.22</v>
      </c>
    </row>
    <row r="14" spans="1:6" ht="19.5" customHeight="1">
      <c r="A14" s="49"/>
      <c r="B14" s="16" t="s">
        <v>102</v>
      </c>
      <c r="C14" s="95" t="s">
        <v>147</v>
      </c>
      <c r="D14" s="50" t="s">
        <v>115</v>
      </c>
      <c r="E14" s="50"/>
      <c r="F14" s="125">
        <v>385877.7</v>
      </c>
    </row>
    <row r="15" spans="1:6" ht="19.5" customHeight="1">
      <c r="A15" s="13"/>
      <c r="B15" s="16" t="s">
        <v>103</v>
      </c>
      <c r="C15" s="53" t="s">
        <v>148</v>
      </c>
      <c r="D15" s="40" t="s">
        <v>115</v>
      </c>
      <c r="E15" s="40"/>
      <c r="F15" s="126"/>
    </row>
    <row r="16" spans="1:6" ht="19.5" customHeight="1">
      <c r="A16" s="13"/>
      <c r="B16" s="16" t="s">
        <v>34</v>
      </c>
      <c r="C16" s="21" t="s">
        <v>139</v>
      </c>
      <c r="D16" s="18" t="s">
        <v>115</v>
      </c>
      <c r="E16" s="18"/>
      <c r="F16" s="94">
        <v>91335.36</v>
      </c>
    </row>
    <row r="17" spans="1:6" ht="19.5" customHeight="1">
      <c r="A17" s="13"/>
      <c r="B17" s="16" t="s">
        <v>36</v>
      </c>
      <c r="C17" s="18">
        <v>0.41</v>
      </c>
      <c r="D17" s="18" t="s">
        <v>115</v>
      </c>
      <c r="E17" s="18"/>
      <c r="F17" s="94">
        <v>70827.6</v>
      </c>
    </row>
    <row r="18" spans="1:6" ht="19.5" customHeight="1">
      <c r="A18" s="13"/>
      <c r="B18" s="16" t="s">
        <v>134</v>
      </c>
      <c r="C18" s="18">
        <v>3.24</v>
      </c>
      <c r="D18" s="18" t="s">
        <v>115</v>
      </c>
      <c r="E18" s="18">
        <v>826778.39</v>
      </c>
      <c r="F18" s="94">
        <v>873751.61</v>
      </c>
    </row>
    <row r="19" spans="1:6" ht="19.5" customHeight="1">
      <c r="A19" s="13"/>
      <c r="B19" s="16" t="s">
        <v>42</v>
      </c>
      <c r="C19" s="21" t="s">
        <v>151</v>
      </c>
      <c r="D19" s="18" t="s">
        <v>115</v>
      </c>
      <c r="E19" s="18"/>
      <c r="F19" s="94">
        <v>601535.16</v>
      </c>
    </row>
    <row r="20" spans="1:6" ht="19.5" customHeight="1">
      <c r="A20" s="13"/>
      <c r="B20" s="16" t="s">
        <v>51</v>
      </c>
      <c r="C20" s="18">
        <v>2.4</v>
      </c>
      <c r="D20" s="18" t="s">
        <v>115</v>
      </c>
      <c r="E20" s="18"/>
      <c r="F20" s="94">
        <v>648570.24</v>
      </c>
    </row>
    <row r="21" spans="1:6" ht="19.5" customHeight="1">
      <c r="A21" s="13"/>
      <c r="B21" s="16" t="s">
        <v>118</v>
      </c>
      <c r="C21" s="51" t="s">
        <v>74</v>
      </c>
      <c r="D21" s="36"/>
      <c r="E21" s="36"/>
      <c r="F21" s="94">
        <v>330555.58</v>
      </c>
    </row>
    <row r="22" spans="1:6" ht="19.5" customHeight="1">
      <c r="A22" s="13"/>
      <c r="B22" s="16" t="s">
        <v>57</v>
      </c>
      <c r="C22" s="18">
        <v>36</v>
      </c>
      <c r="D22" s="18" t="s">
        <v>116</v>
      </c>
      <c r="E22" s="18"/>
      <c r="F22" s="94">
        <v>145908</v>
      </c>
    </row>
    <row r="23" spans="1:6" ht="19.5" customHeight="1">
      <c r="A23" s="13"/>
      <c r="B23" s="16" t="s">
        <v>59</v>
      </c>
      <c r="C23" s="21" t="s">
        <v>153</v>
      </c>
      <c r="D23" s="18" t="s">
        <v>116</v>
      </c>
      <c r="E23" s="18"/>
      <c r="F23" s="94">
        <v>186273.3</v>
      </c>
    </row>
    <row r="24" spans="1:6" ht="19.5" customHeight="1">
      <c r="A24" s="13"/>
      <c r="B24" s="16" t="s">
        <v>113</v>
      </c>
      <c r="C24" s="52">
        <v>90</v>
      </c>
      <c r="D24" s="52" t="s">
        <v>117</v>
      </c>
      <c r="E24" s="52"/>
      <c r="F24" s="94">
        <v>452970.68</v>
      </c>
    </row>
    <row r="25" spans="1:6" ht="19.5" customHeight="1">
      <c r="A25" s="13"/>
      <c r="B25" s="16" t="s">
        <v>132</v>
      </c>
      <c r="C25" s="52">
        <v>500</v>
      </c>
      <c r="D25" s="52" t="s">
        <v>133</v>
      </c>
      <c r="E25" s="52"/>
      <c r="F25" s="94">
        <v>20000</v>
      </c>
    </row>
    <row r="26" spans="1:6" ht="19.5" customHeight="1">
      <c r="A26" s="13"/>
      <c r="B26" s="16" t="s">
        <v>62</v>
      </c>
      <c r="C26" s="21" t="s">
        <v>157</v>
      </c>
      <c r="D26" s="18" t="s">
        <v>119</v>
      </c>
      <c r="E26" s="48"/>
      <c r="F26" s="94">
        <v>4022605.63</v>
      </c>
    </row>
    <row r="27" spans="1:6" ht="19.5" customHeight="1">
      <c r="A27" s="13"/>
      <c r="B27" s="16" t="s">
        <v>63</v>
      </c>
      <c r="C27" s="53" t="s">
        <v>150</v>
      </c>
      <c r="D27" s="40" t="s">
        <v>120</v>
      </c>
      <c r="E27" s="54"/>
      <c r="F27" s="94">
        <v>1693063.78</v>
      </c>
    </row>
    <row r="28" spans="1:6" ht="19.5" customHeight="1">
      <c r="A28" s="13"/>
      <c r="B28" s="16" t="s">
        <v>125</v>
      </c>
      <c r="C28" s="53" t="s">
        <v>149</v>
      </c>
      <c r="D28" s="40" t="s">
        <v>120</v>
      </c>
      <c r="E28" s="54"/>
      <c r="F28" s="94">
        <v>1762466.37</v>
      </c>
    </row>
    <row r="29" spans="1:6" ht="19.5" customHeight="1">
      <c r="A29" s="13"/>
      <c r="B29" s="16" t="s">
        <v>138</v>
      </c>
      <c r="C29" s="21" t="s">
        <v>152</v>
      </c>
      <c r="D29" s="18" t="s">
        <v>123</v>
      </c>
      <c r="E29" s="18"/>
      <c r="F29" s="94">
        <v>381246.99</v>
      </c>
    </row>
    <row r="30" spans="1:6" ht="19.5" customHeight="1">
      <c r="A30" s="13"/>
      <c r="B30" s="16" t="s">
        <v>121</v>
      </c>
      <c r="C30" s="40"/>
      <c r="D30" s="40"/>
      <c r="E30" s="54">
        <v>99106.2</v>
      </c>
      <c r="F30" s="94">
        <v>76084.17</v>
      </c>
    </row>
    <row r="31" spans="1:6" ht="19.5" customHeight="1">
      <c r="A31" s="13"/>
      <c r="B31" s="16" t="s">
        <v>165</v>
      </c>
      <c r="C31" s="40"/>
      <c r="D31" s="40"/>
      <c r="E31" s="54"/>
      <c r="F31" s="94">
        <v>22790.13</v>
      </c>
    </row>
    <row r="32" spans="1:6" ht="19.5" customHeight="1">
      <c r="A32" s="13"/>
      <c r="B32" s="16" t="s">
        <v>99</v>
      </c>
      <c r="C32" s="18"/>
      <c r="D32" s="18"/>
      <c r="E32" s="18"/>
      <c r="F32" s="94">
        <v>43219.53</v>
      </c>
    </row>
    <row r="33" spans="1:6" ht="19.5" customHeight="1">
      <c r="A33" s="13"/>
      <c r="B33" s="16" t="s">
        <v>105</v>
      </c>
      <c r="C33" s="18"/>
      <c r="D33" s="18"/>
      <c r="E33" s="48"/>
      <c r="F33" s="94">
        <v>783500</v>
      </c>
    </row>
    <row r="34" spans="1:6" ht="19.5" customHeight="1" thickBot="1">
      <c r="A34" s="55"/>
      <c r="B34" s="41"/>
      <c r="C34" s="56"/>
      <c r="D34" s="56"/>
      <c r="E34" s="56"/>
      <c r="F34" s="57"/>
    </row>
    <row r="35" spans="1:9" ht="19.5" customHeight="1" thickBot="1">
      <c r="A35" s="39"/>
      <c r="B35" s="69" t="s">
        <v>65</v>
      </c>
      <c r="C35" s="35"/>
      <c r="D35" s="35"/>
      <c r="E35" s="74">
        <f>SUM(E9:E34)</f>
        <v>925884.59</v>
      </c>
      <c r="F35" s="75">
        <f>SUM(F9:F34)</f>
        <v>18799134.21</v>
      </c>
      <c r="I35" s="81"/>
    </row>
    <row r="36" spans="1:6" ht="19.5" customHeight="1">
      <c r="A36" s="58"/>
      <c r="B36" s="59"/>
      <c r="C36" s="34"/>
      <c r="D36" s="34"/>
      <c r="E36" s="34"/>
      <c r="F36" s="34"/>
    </row>
    <row r="37" spans="1:6" ht="19.5" customHeight="1" thickBot="1">
      <c r="A37" s="10"/>
      <c r="B37" s="46"/>
      <c r="C37" s="10"/>
      <c r="D37" s="10"/>
      <c r="E37" s="10"/>
      <c r="F37" s="85"/>
    </row>
    <row r="38" spans="1:6" ht="24.75" customHeight="1" thickBot="1">
      <c r="A38" s="67"/>
      <c r="B38" s="68" t="s">
        <v>12</v>
      </c>
      <c r="C38" s="66"/>
      <c r="D38" s="66"/>
      <c r="E38" s="66"/>
      <c r="F38" s="86"/>
    </row>
    <row r="39" spans="1:6" ht="24.75" customHeight="1">
      <c r="A39" s="47"/>
      <c r="B39" s="72"/>
      <c r="C39" s="47"/>
      <c r="D39" s="47"/>
      <c r="E39" s="47"/>
      <c r="F39" s="42"/>
    </row>
    <row r="40" spans="1:6" ht="19.5" customHeight="1">
      <c r="A40" s="9"/>
      <c r="B40" s="16" t="s">
        <v>140</v>
      </c>
      <c r="C40" s="9"/>
      <c r="D40" s="9"/>
      <c r="E40" s="9"/>
      <c r="F40" s="94">
        <v>172320</v>
      </c>
    </row>
    <row r="41" spans="1:6" ht="19.5" customHeight="1">
      <c r="A41" s="9"/>
      <c r="B41" s="16" t="s">
        <v>110</v>
      </c>
      <c r="C41" s="9"/>
      <c r="D41" s="9"/>
      <c r="E41" s="9"/>
      <c r="F41" s="94">
        <v>170216</v>
      </c>
    </row>
    <row r="42" spans="1:6" ht="19.5" customHeight="1">
      <c r="A42" s="9"/>
      <c r="B42" s="16" t="s">
        <v>40</v>
      </c>
      <c r="C42" s="9"/>
      <c r="D42" s="9"/>
      <c r="E42" s="9"/>
      <c r="F42" s="94">
        <v>171629.61</v>
      </c>
    </row>
    <row r="43" spans="1:6" ht="19.5" customHeight="1">
      <c r="A43" s="9"/>
      <c r="B43" s="16" t="s">
        <v>111</v>
      </c>
      <c r="C43" s="9"/>
      <c r="D43" s="9"/>
      <c r="E43" s="9"/>
      <c r="F43" s="96">
        <v>19916.92</v>
      </c>
    </row>
    <row r="44" spans="1:6" s="80" customFormat="1" ht="19.5" customHeight="1">
      <c r="A44" s="43"/>
      <c r="B44" s="79" t="s">
        <v>168</v>
      </c>
      <c r="C44" s="43"/>
      <c r="D44" s="43"/>
      <c r="E44" s="43"/>
      <c r="F44" s="94">
        <v>619929</v>
      </c>
    </row>
    <row r="45" spans="1:6" ht="19.5" customHeight="1">
      <c r="A45" s="9"/>
      <c r="B45" s="16" t="s">
        <v>173</v>
      </c>
      <c r="C45" s="9"/>
      <c r="D45" s="9"/>
      <c r="E45" s="9"/>
      <c r="F45" s="96">
        <v>57471</v>
      </c>
    </row>
    <row r="46" spans="1:6" ht="19.5" customHeight="1">
      <c r="A46" s="9"/>
      <c r="B46" s="16" t="s">
        <v>175</v>
      </c>
      <c r="C46" s="9"/>
      <c r="D46" s="9"/>
      <c r="E46" s="9"/>
      <c r="F46" s="96">
        <v>29890</v>
      </c>
    </row>
    <row r="47" spans="1:6" ht="19.5" customHeight="1">
      <c r="A47" s="9"/>
      <c r="B47" s="16" t="s">
        <v>176</v>
      </c>
      <c r="C47" s="9"/>
      <c r="D47" s="9"/>
      <c r="E47" s="9"/>
      <c r="F47" s="96">
        <v>20700</v>
      </c>
    </row>
    <row r="48" spans="1:6" ht="19.5" customHeight="1">
      <c r="A48" s="9"/>
      <c r="B48" s="16" t="s">
        <v>174</v>
      </c>
      <c r="C48" s="9"/>
      <c r="D48" s="9"/>
      <c r="E48" s="9"/>
      <c r="F48" s="96">
        <v>101850</v>
      </c>
    </row>
    <row r="49" spans="1:6" ht="19.5" customHeight="1">
      <c r="A49" s="9"/>
      <c r="B49" s="16" t="s">
        <v>172</v>
      </c>
      <c r="C49" s="9"/>
      <c r="D49" s="9"/>
      <c r="E49" s="9"/>
      <c r="F49" s="96">
        <v>133345</v>
      </c>
    </row>
    <row r="50" spans="1:6" ht="19.5" customHeight="1">
      <c r="A50" s="9"/>
      <c r="B50" s="16" t="s">
        <v>171</v>
      </c>
      <c r="C50" s="9"/>
      <c r="D50" s="9"/>
      <c r="E50" s="9"/>
      <c r="F50" s="96">
        <v>172420</v>
      </c>
    </row>
    <row r="51" spans="1:6" ht="19.5" customHeight="1">
      <c r="A51" s="9"/>
      <c r="B51" s="16" t="s">
        <v>169</v>
      </c>
      <c r="C51" s="9"/>
      <c r="D51" s="9"/>
      <c r="E51" s="9"/>
      <c r="F51" s="96">
        <v>30000</v>
      </c>
    </row>
    <row r="52" spans="1:6" ht="19.5" customHeight="1">
      <c r="A52" s="9"/>
      <c r="B52" s="16" t="s">
        <v>170</v>
      </c>
      <c r="C52" s="9"/>
      <c r="D52" s="9"/>
      <c r="E52" s="9"/>
      <c r="F52" s="96">
        <v>32184</v>
      </c>
    </row>
    <row r="53" spans="1:6" s="80" customFormat="1" ht="19.5" customHeight="1">
      <c r="A53" s="43"/>
      <c r="B53" s="79" t="s">
        <v>166</v>
      </c>
      <c r="C53" s="43"/>
      <c r="D53" s="43"/>
      <c r="E53" s="43"/>
      <c r="F53" s="94">
        <f>207683.09+47926.07</f>
        <v>255609.16</v>
      </c>
    </row>
    <row r="54" spans="1:6" s="80" customFormat="1" ht="19.5" customHeight="1">
      <c r="A54" s="43"/>
      <c r="B54" s="79" t="s">
        <v>130</v>
      </c>
      <c r="C54" s="43"/>
      <c r="D54" s="43"/>
      <c r="E54" s="43"/>
      <c r="F54" s="94">
        <f>251245.68+164000</f>
        <v>415245.68</v>
      </c>
    </row>
    <row r="55" spans="1:6" s="80" customFormat="1" ht="19.5" customHeight="1">
      <c r="A55" s="43"/>
      <c r="B55" s="79" t="s">
        <v>107</v>
      </c>
      <c r="C55" s="43"/>
      <c r="D55" s="43"/>
      <c r="E55" s="43"/>
      <c r="F55" s="94">
        <f>63788+163169.86+3000</f>
        <v>229957.86</v>
      </c>
    </row>
    <row r="56" spans="1:6" ht="19.5" customHeight="1">
      <c r="A56" s="9"/>
      <c r="B56" s="23" t="s">
        <v>162</v>
      </c>
      <c r="C56" s="9"/>
      <c r="D56" s="9"/>
      <c r="E56" s="9"/>
      <c r="F56" s="54">
        <v>400000</v>
      </c>
    </row>
    <row r="57" spans="1:6" ht="19.5" customHeight="1">
      <c r="A57" s="9"/>
      <c r="B57" s="79" t="s">
        <v>163</v>
      </c>
      <c r="C57" s="9"/>
      <c r="D57" s="9"/>
      <c r="E57" s="9"/>
      <c r="F57" s="54">
        <f>78216+78000+207519.66</f>
        <v>363735.66000000003</v>
      </c>
    </row>
    <row r="58" spans="1:6" ht="19.5" customHeight="1">
      <c r="A58" s="9"/>
      <c r="B58" s="23" t="s">
        <v>158</v>
      </c>
      <c r="C58" s="9"/>
      <c r="D58" s="9"/>
      <c r="E58" s="9"/>
      <c r="F58" s="54">
        <f>864000+85500</f>
        <v>949500</v>
      </c>
    </row>
    <row r="59" spans="1:6" ht="19.5" customHeight="1">
      <c r="A59" s="9"/>
      <c r="B59" s="23" t="s">
        <v>159</v>
      </c>
      <c r="C59" s="9"/>
      <c r="D59" s="9"/>
      <c r="E59" s="9"/>
      <c r="F59" s="54">
        <v>110100</v>
      </c>
    </row>
    <row r="60" spans="1:6" ht="19.5" customHeight="1">
      <c r="A60" s="9"/>
      <c r="B60" s="17" t="s">
        <v>141</v>
      </c>
      <c r="C60" s="9"/>
      <c r="D60" s="9"/>
      <c r="E60" s="9"/>
      <c r="F60" s="94">
        <v>376942.96</v>
      </c>
    </row>
    <row r="61" spans="1:6" ht="19.5" customHeight="1">
      <c r="A61" s="9"/>
      <c r="B61" s="16" t="s">
        <v>137</v>
      </c>
      <c r="C61" s="9"/>
      <c r="D61" s="9"/>
      <c r="E61" s="9"/>
      <c r="F61" s="94">
        <f>30960+61124.61</f>
        <v>92084.61</v>
      </c>
    </row>
    <row r="62" spans="1:6" ht="19.5" customHeight="1">
      <c r="A62" s="9"/>
      <c r="B62" s="16" t="s">
        <v>122</v>
      </c>
      <c r="C62" s="9"/>
      <c r="D62" s="9"/>
      <c r="E62" s="9"/>
      <c r="F62" s="94">
        <v>3000</v>
      </c>
    </row>
    <row r="63" spans="1:6" ht="19.5" customHeight="1">
      <c r="A63" s="9"/>
      <c r="B63" s="16" t="s">
        <v>161</v>
      </c>
      <c r="C63" s="9"/>
      <c r="D63" s="9"/>
      <c r="E63" s="9"/>
      <c r="F63" s="94">
        <v>23528.81</v>
      </c>
    </row>
    <row r="64" spans="1:6" ht="19.5" customHeight="1">
      <c r="A64" s="9"/>
      <c r="B64" s="16" t="s">
        <v>35</v>
      </c>
      <c r="C64" s="9"/>
      <c r="D64" s="9"/>
      <c r="E64" s="9"/>
      <c r="F64" s="94">
        <v>132120</v>
      </c>
    </row>
    <row r="65" spans="1:6" ht="19.5" customHeight="1">
      <c r="A65" s="9"/>
      <c r="B65" s="16" t="s">
        <v>104</v>
      </c>
      <c r="C65" s="9"/>
      <c r="D65" s="9"/>
      <c r="E65" s="9"/>
      <c r="F65" s="94">
        <v>71917.9</v>
      </c>
    </row>
    <row r="66" spans="1:17" ht="19.5" customHeight="1">
      <c r="A66" s="9"/>
      <c r="B66" s="17" t="s">
        <v>45</v>
      </c>
      <c r="C66" s="9"/>
      <c r="D66" s="9"/>
      <c r="E66" s="9"/>
      <c r="F66" s="94">
        <v>96198.5</v>
      </c>
      <c r="Q66" s="92"/>
    </row>
    <row r="67" spans="1:17" ht="19.5" customHeight="1">
      <c r="A67" s="9"/>
      <c r="B67" s="17" t="s">
        <v>46</v>
      </c>
      <c r="C67" s="9"/>
      <c r="D67" s="9"/>
      <c r="E67" s="9"/>
      <c r="F67" s="94">
        <v>15920.23</v>
      </c>
      <c r="Q67" s="92"/>
    </row>
    <row r="68" spans="1:17" ht="19.5" customHeight="1">
      <c r="A68" s="9"/>
      <c r="B68" s="17" t="s">
        <v>47</v>
      </c>
      <c r="C68" s="9"/>
      <c r="D68" s="9"/>
      <c r="E68" s="9"/>
      <c r="F68" s="94">
        <v>11023.7</v>
      </c>
      <c r="J68" s="81"/>
      <c r="K68" s="81"/>
      <c r="L68" s="81"/>
      <c r="P68" s="81"/>
      <c r="Q68" s="92"/>
    </row>
    <row r="69" spans="1:17" ht="19.5" customHeight="1">
      <c r="A69" s="9"/>
      <c r="B69" s="9" t="s">
        <v>136</v>
      </c>
      <c r="C69" s="9"/>
      <c r="D69" s="9"/>
      <c r="E69" s="9"/>
      <c r="F69" s="94">
        <v>72000</v>
      </c>
      <c r="I69" s="81"/>
      <c r="Q69" s="92"/>
    </row>
    <row r="70" spans="1:11" ht="19.5" customHeight="1">
      <c r="A70" s="9"/>
      <c r="B70" s="9" t="s">
        <v>164</v>
      </c>
      <c r="C70" s="9"/>
      <c r="D70" s="9"/>
      <c r="E70" s="9"/>
      <c r="F70" s="94">
        <v>40000</v>
      </c>
      <c r="I70" s="81"/>
      <c r="K70" s="81"/>
    </row>
    <row r="71" spans="1:6" ht="19.5" customHeight="1">
      <c r="A71" s="9"/>
      <c r="B71" s="9" t="s">
        <v>131</v>
      </c>
      <c r="C71" s="9"/>
      <c r="D71" s="9"/>
      <c r="E71" s="9"/>
      <c r="F71" s="94">
        <f>72106.24-40000+8866.99+714</f>
        <v>41687.23</v>
      </c>
    </row>
    <row r="72" spans="1:6" ht="19.5" customHeight="1">
      <c r="A72" s="9"/>
      <c r="B72" s="17" t="s">
        <v>56</v>
      </c>
      <c r="C72" s="9"/>
      <c r="D72" s="9"/>
      <c r="E72" s="9"/>
      <c r="F72" s="94">
        <v>355431.48</v>
      </c>
    </row>
    <row r="73" spans="1:6" ht="19.5" customHeight="1">
      <c r="A73" s="9"/>
      <c r="B73" s="17" t="s">
        <v>135</v>
      </c>
      <c r="C73" s="9"/>
      <c r="D73" s="9"/>
      <c r="E73" s="9"/>
      <c r="F73" s="94">
        <v>145044</v>
      </c>
    </row>
    <row r="74" spans="1:6" ht="19.5" customHeight="1">
      <c r="A74" s="9"/>
      <c r="B74" s="17" t="s">
        <v>60</v>
      </c>
      <c r="C74" s="9"/>
      <c r="D74" s="9"/>
      <c r="E74" s="9"/>
      <c r="F74" s="94">
        <v>180345.93</v>
      </c>
    </row>
    <row r="75" spans="1:6" ht="19.5" customHeight="1">
      <c r="A75" s="9"/>
      <c r="B75" s="17" t="s">
        <v>98</v>
      </c>
      <c r="C75" s="9"/>
      <c r="D75" s="9"/>
      <c r="E75" s="9"/>
      <c r="F75" s="94">
        <v>5528605.32</v>
      </c>
    </row>
    <row r="76" spans="1:6" ht="19.5" customHeight="1">
      <c r="A76" s="9"/>
      <c r="B76" s="17" t="s">
        <v>97</v>
      </c>
      <c r="C76" s="9"/>
      <c r="D76" s="9"/>
      <c r="E76" s="9"/>
      <c r="F76" s="94">
        <v>1808019.39</v>
      </c>
    </row>
    <row r="77" spans="1:6" ht="19.5" customHeight="1">
      <c r="A77" s="9"/>
      <c r="B77" s="16" t="s">
        <v>100</v>
      </c>
      <c r="C77" s="9"/>
      <c r="D77" s="9"/>
      <c r="E77" s="9"/>
      <c r="F77" s="96">
        <v>382798.67</v>
      </c>
    </row>
    <row r="78" spans="1:6" ht="19.5" customHeight="1">
      <c r="A78" s="9"/>
      <c r="B78" s="17" t="s">
        <v>128</v>
      </c>
      <c r="C78" s="9"/>
      <c r="D78" s="9"/>
      <c r="E78" s="9"/>
      <c r="F78" s="94">
        <v>3334495.09</v>
      </c>
    </row>
    <row r="79" spans="1:6" ht="19.5" customHeight="1">
      <c r="A79" s="9"/>
      <c r="B79" s="17" t="s">
        <v>167</v>
      </c>
      <c r="C79" s="9"/>
      <c r="D79" s="9"/>
      <c r="E79" s="9"/>
      <c r="F79" s="94">
        <v>112077</v>
      </c>
    </row>
    <row r="80" spans="1:9" ht="19.5" customHeight="1">
      <c r="A80" s="9"/>
      <c r="B80" s="17" t="s">
        <v>129</v>
      </c>
      <c r="C80" s="9"/>
      <c r="D80" s="9"/>
      <c r="E80" s="9"/>
      <c r="F80" s="94">
        <f>113123.53+354254.43+119198.89+147062.71+80010.07+67447.13+42195.04</f>
        <v>923291.7999999999</v>
      </c>
      <c r="I80" s="81"/>
    </row>
    <row r="81" spans="1:6" ht="19.5" customHeight="1">
      <c r="A81" s="9"/>
      <c r="B81" s="27" t="s">
        <v>101</v>
      </c>
      <c r="C81" s="9"/>
      <c r="D81" s="9"/>
      <c r="E81" s="9"/>
      <c r="F81" s="94">
        <v>552000</v>
      </c>
    </row>
    <row r="82" spans="1:10" ht="19.5" customHeight="1">
      <c r="A82" s="9"/>
      <c r="B82" s="17" t="s">
        <v>106</v>
      </c>
      <c r="C82" s="9"/>
      <c r="D82" s="9"/>
      <c r="E82" s="9"/>
      <c r="F82" s="94">
        <f>F33*0.03</f>
        <v>23505</v>
      </c>
      <c r="I82" s="81"/>
      <c r="J82" s="81"/>
    </row>
    <row r="83" spans="1:6" ht="19.5" customHeight="1">
      <c r="A83" s="9"/>
      <c r="B83" s="17" t="s">
        <v>160</v>
      </c>
      <c r="C83" s="9"/>
      <c r="D83" s="9"/>
      <c r="E83" s="9"/>
      <c r="F83" s="94">
        <v>37357</v>
      </c>
    </row>
    <row r="84" spans="1:6" ht="19.5" customHeight="1" thickBot="1">
      <c r="A84" s="10"/>
      <c r="B84" s="70"/>
      <c r="C84" s="10"/>
      <c r="D84" s="10"/>
      <c r="E84" s="10"/>
      <c r="F84" s="87"/>
    </row>
    <row r="85" spans="1:10" ht="19.5" customHeight="1" thickBot="1">
      <c r="A85" s="67"/>
      <c r="B85" s="69" t="s">
        <v>127</v>
      </c>
      <c r="C85" s="66"/>
      <c r="D85" s="66"/>
      <c r="E85" s="66"/>
      <c r="F85" s="88">
        <f>SUM(F40:F84)</f>
        <v>18815414.51</v>
      </c>
      <c r="I85" s="98"/>
      <c r="J85" s="81"/>
    </row>
    <row r="86" spans="1:6" ht="19.5" customHeight="1" thickBot="1">
      <c r="A86" s="71"/>
      <c r="B86" s="73"/>
      <c r="C86" s="71"/>
      <c r="D86" s="71"/>
      <c r="E86" s="71"/>
      <c r="F86" s="89"/>
    </row>
    <row r="87" spans="1:9" ht="19.5" customHeight="1" thickBot="1">
      <c r="A87" s="67"/>
      <c r="B87" s="69" t="s">
        <v>145</v>
      </c>
      <c r="C87" s="66"/>
      <c r="D87" s="66"/>
      <c r="E87" s="66"/>
      <c r="F87" s="99">
        <f>E35+F35-F85</f>
        <v>909604.2899999991</v>
      </c>
      <c r="I87" s="81"/>
    </row>
    <row r="90" ht="12.75">
      <c r="F90" s="97"/>
    </row>
  </sheetData>
  <sheetProtection/>
  <mergeCells count="1">
    <mergeCell ref="F14:F15"/>
  </mergeCells>
  <printOptions/>
  <pageMargins left="0.1968503937007874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Тсж</cp:lastModifiedBy>
  <cp:lastPrinted>2013-12-28T06:45:40Z</cp:lastPrinted>
  <dcterms:created xsi:type="dcterms:W3CDTF">2006-01-06T07:30:48Z</dcterms:created>
  <dcterms:modified xsi:type="dcterms:W3CDTF">2017-03-28T11:46:31Z</dcterms:modified>
  <cp:category/>
  <cp:version/>
  <cp:contentType/>
  <cp:contentStatus/>
</cp:coreProperties>
</file>